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11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220\"/>
    </mc:Choice>
  </mc:AlternateContent>
  <bookViews>
    <workbookView xWindow="0" yWindow="0" windowWidth="25200" windowHeight="12000" tabRatio="618" xr2:uid="{00000000-000D-0000-FFFF-FFFF00000000}"/>
  </bookViews>
  <sheets>
    <sheet name="Uvod" sheetId="7" r:id="rId1"/>
    <sheet name="AVS" sheetId="8" r:id="rId2"/>
    <sheet name="HF" sheetId="6" r:id="rId3"/>
    <sheet name="HS" sheetId="9" r:id="rId4"/>
    <sheet name="HL" sheetId="10" r:id="rId5"/>
    <sheet name="HK" sheetId="11" r:id="rId6"/>
    <sheet name="HK-S" sheetId="12" r:id="rId7"/>
    <sheet name="HK-XS" sheetId="13" r:id="rId8"/>
    <sheet name="BOX" sheetId="5" r:id="rId9"/>
    <sheet name="TBX_B" sheetId="3" r:id="rId10"/>
    <sheet name="TBX_T" sheetId="4" r:id="rId11"/>
    <sheet name="LBX" sheetId="2" r:id="rId12"/>
    <sheet name="STR" sheetId="16" r:id="rId13"/>
    <sheet name="ST_TBX" sheetId="14" r:id="rId14"/>
    <sheet name="ST_LBX" sheetId="15" r:id="rId15"/>
  </sheets>
  <definedNames>
    <definedName name="_xlnm.Print_Area" localSheetId="1">AVS!$A$1:$E$11</definedName>
    <definedName name="_xlnm.Print_Area" localSheetId="8">BOX!$A$1:$E$19</definedName>
    <definedName name="_xlnm.Print_Area" localSheetId="2">HF!$B$1:$Z$28,HF!$B$69:$X$96</definedName>
    <definedName name="_xlnm.Print_Area" localSheetId="5">HK!$B$1:$X$26,HK!$B$66:$X$92</definedName>
    <definedName name="_xlnm.Print_Area" localSheetId="6">'HK-S'!$B$1:$X$26,'HK-S'!$B$66:$X$90</definedName>
    <definedName name="_xlnm.Print_Area" localSheetId="7">'HK-XS'!$B$1:$Z$28,'HK-XS'!$B$70:$X$95</definedName>
    <definedName name="_xlnm.Print_Area" localSheetId="4">HL!$B$1:$X$25,HL!$B$66:$Y$93</definedName>
    <definedName name="_xlnm.Print_Area" localSheetId="3">HS!$B$1:$X$26,HS!$B$66:$Y$93</definedName>
    <definedName name="_xlnm.Print_Area" localSheetId="11">LBX!$B$1:$X$29,LBX!$B$69:$W$107,LBX!$B$115:$W$140</definedName>
    <definedName name="_xlnm.Print_Area" localSheetId="14">ST_LBX!$B$1:$Z$30,ST_LBX!$C$67:$Z$100</definedName>
    <definedName name="_xlnm.Print_Area" localSheetId="13">ST_TBX!$B$1:$Z$30,ST_TBX!$C$67:$Z$100</definedName>
    <definedName name="_xlnm.Print_Area" localSheetId="12">STR!$A$1:$D$17</definedName>
    <definedName name="_xlnm.Print_Area" localSheetId="9">TBX_B!$B$1:$X$27,TBX_B!$B$70:$W$108,TBX_B!$B$113:$W$136</definedName>
    <definedName name="_xlnm.Print_Area" localSheetId="10">TBX_T!$B$1:$X$27,TBX_T!$B$69:$W$107,TBX_T!$B$115:$W$141</definedName>
    <definedName name="_xlnm.Print_Area" localSheetId="0">Uvod!$A$1:$E$19</definedName>
  </definedNames>
  <calcPr calcId="171026" iterateDelta="252"/>
</workbook>
</file>

<file path=xl/calcChain.xml><?xml version="1.0" encoding="utf-8"?>
<calcChain xmlns="http://schemas.openxmlformats.org/spreadsheetml/2006/main">
  <c r="U72" i="10" l="1"/>
  <c r="T72" i="10"/>
  <c r="T71" i="10"/>
  <c r="L3" i="4"/>
  <c r="E13" i="4"/>
  <c r="F13" i="4"/>
  <c r="L3" i="3"/>
  <c r="H17" i="3"/>
  <c r="L3" i="2"/>
  <c r="E17" i="2"/>
  <c r="G105" i="2"/>
  <c r="J6" i="2"/>
  <c r="J6" i="4"/>
  <c r="J6" i="3"/>
  <c r="B69" i="6"/>
  <c r="B66" i="10"/>
  <c r="B71" i="13"/>
  <c r="R27" i="15"/>
  <c r="Z20" i="15"/>
  <c r="N15" i="12"/>
  <c r="R26" i="15"/>
  <c r="Z21" i="15"/>
  <c r="R25" i="15"/>
  <c r="Z22" i="15"/>
  <c r="R26" i="14"/>
  <c r="Z21" i="14"/>
  <c r="R25" i="14"/>
  <c r="Z22" i="14"/>
  <c r="I95" i="14"/>
  <c r="N15" i="11"/>
  <c r="T78" i="10"/>
  <c r="T77" i="10"/>
  <c r="N13" i="10"/>
  <c r="C72" i="10"/>
  <c r="L5" i="14"/>
  <c r="T17" i="14"/>
  <c r="U17" i="14"/>
  <c r="L70" i="14"/>
  <c r="R17" i="14"/>
  <c r="S17" i="14"/>
  <c r="P17" i="14"/>
  <c r="Q17" i="14"/>
  <c r="O17" i="14"/>
  <c r="L5" i="15"/>
  <c r="N18" i="15"/>
  <c r="U13" i="15"/>
  <c r="N18" i="14"/>
  <c r="P18" i="14"/>
  <c r="Q18" i="14"/>
  <c r="P17" i="15"/>
  <c r="Q17" i="15"/>
  <c r="O17" i="15"/>
  <c r="T17" i="15"/>
  <c r="U17" i="15"/>
  <c r="L70" i="15"/>
  <c r="R17" i="15"/>
  <c r="S17" i="15"/>
  <c r="M18" i="15"/>
  <c r="O18" i="15"/>
  <c r="M18" i="14"/>
  <c r="O18" i="14"/>
  <c r="V22" i="15"/>
  <c r="V21" i="15"/>
  <c r="V20" i="15"/>
  <c r="V19" i="15"/>
  <c r="P19" i="15"/>
  <c r="Q19" i="15"/>
  <c r="L19" i="15"/>
  <c r="P20" i="15"/>
  <c r="Q20" i="15"/>
  <c r="L20" i="15"/>
  <c r="P21" i="15"/>
  <c r="Q21" i="15"/>
  <c r="L21" i="15"/>
  <c r="O19" i="15"/>
  <c r="O21" i="15"/>
  <c r="U22" i="15"/>
  <c r="L95" i="15"/>
  <c r="S22" i="15"/>
  <c r="N22" i="15"/>
  <c r="P22" i="15"/>
  <c r="Q22" i="15"/>
  <c r="L22" i="15"/>
  <c r="M22" i="15"/>
  <c r="O20" i="15"/>
  <c r="O11" i="15"/>
  <c r="L11" i="15"/>
  <c r="O10" i="15"/>
  <c r="L10" i="15"/>
  <c r="O9" i="15"/>
  <c r="L9" i="15"/>
  <c r="O8" i="15"/>
  <c r="L8" i="15"/>
  <c r="O7" i="15"/>
  <c r="L7" i="15"/>
  <c r="O6" i="15"/>
  <c r="L6" i="15"/>
  <c r="O5" i="15"/>
  <c r="L6" i="14"/>
  <c r="O6" i="14"/>
  <c r="U22" i="14"/>
  <c r="L95" i="14"/>
  <c r="S22" i="14"/>
  <c r="P20" i="14"/>
  <c r="Q20" i="14"/>
  <c r="L20" i="14"/>
  <c r="P19" i="14"/>
  <c r="Q19" i="14"/>
  <c r="L19" i="14"/>
  <c r="P21" i="14"/>
  <c r="Q21" i="14"/>
  <c r="L21" i="14"/>
  <c r="O19" i="14"/>
  <c r="O21" i="14"/>
  <c r="M20" i="14"/>
  <c r="O20" i="14"/>
  <c r="N22" i="14"/>
  <c r="P22" i="14"/>
  <c r="Q22" i="14"/>
  <c r="L22" i="14"/>
  <c r="M22" i="14"/>
  <c r="O22" i="14"/>
  <c r="V22" i="14"/>
  <c r="V21" i="14"/>
  <c r="V20" i="14"/>
  <c r="V19" i="14"/>
  <c r="L11" i="14"/>
  <c r="O11" i="14"/>
  <c r="J7" i="13"/>
  <c r="J7" i="6"/>
  <c r="O7" i="14"/>
  <c r="L7" i="14"/>
  <c r="L10" i="14"/>
  <c r="O10" i="14"/>
  <c r="L6" i="13"/>
  <c r="J6" i="13"/>
  <c r="L5" i="13"/>
  <c r="J5" i="13"/>
  <c r="L7" i="13"/>
  <c r="J5" i="6"/>
  <c r="L6" i="6"/>
  <c r="J6" i="6"/>
  <c r="L5" i="6"/>
  <c r="L8" i="14"/>
  <c r="L9" i="14"/>
  <c r="O8" i="14"/>
  <c r="O9" i="14"/>
  <c r="O5" i="14"/>
  <c r="L7" i="6"/>
  <c r="N15" i="13"/>
  <c r="N13" i="13"/>
  <c r="N14" i="13"/>
  <c r="L4" i="13"/>
  <c r="L3" i="13"/>
  <c r="J4" i="13"/>
  <c r="L9" i="13"/>
  <c r="J9" i="13"/>
  <c r="L8" i="13"/>
  <c r="J8" i="13"/>
  <c r="L5" i="12"/>
  <c r="J5" i="12"/>
  <c r="L5" i="11"/>
  <c r="J5" i="11"/>
  <c r="J4" i="12"/>
  <c r="L4" i="12"/>
  <c r="N14" i="12"/>
  <c r="L9" i="12"/>
  <c r="J9" i="12"/>
  <c r="L8" i="12"/>
  <c r="J8" i="12"/>
  <c r="L7" i="12"/>
  <c r="J7" i="12"/>
  <c r="L6" i="12"/>
  <c r="L3" i="12"/>
  <c r="J6" i="12"/>
  <c r="L4" i="11"/>
  <c r="J4" i="11"/>
  <c r="N14" i="11"/>
  <c r="L9" i="11"/>
  <c r="J9" i="11"/>
  <c r="L8" i="11"/>
  <c r="J8" i="11"/>
  <c r="L7" i="11"/>
  <c r="J7" i="11"/>
  <c r="L6" i="11"/>
  <c r="L3" i="11"/>
  <c r="J6" i="11"/>
  <c r="W24" i="10"/>
  <c r="W23" i="10"/>
  <c r="Z24" i="10"/>
  <c r="J15" i="10"/>
  <c r="Z23" i="10"/>
  <c r="J14" i="10"/>
  <c r="N15" i="10"/>
  <c r="R15" i="10"/>
  <c r="U71" i="10"/>
  <c r="Q15" i="10"/>
  <c r="Q16" i="10"/>
  <c r="P15" i="10"/>
  <c r="P16" i="10"/>
  <c r="O15" i="10"/>
  <c r="O16" i="10"/>
  <c r="L4" i="10"/>
  <c r="J4" i="10"/>
  <c r="L9" i="10"/>
  <c r="J9" i="10"/>
  <c r="L8" i="10"/>
  <c r="J8" i="10"/>
  <c r="L7" i="10"/>
  <c r="J7" i="10"/>
  <c r="L6" i="10"/>
  <c r="L3" i="10"/>
  <c r="J6" i="10"/>
  <c r="L5" i="10"/>
  <c r="J5" i="10"/>
  <c r="N13" i="9"/>
  <c r="N14" i="9"/>
  <c r="N14" i="6"/>
  <c r="O14" i="6"/>
  <c r="O15" i="6"/>
  <c r="L4" i="9"/>
  <c r="L3" i="9"/>
  <c r="L7" i="9"/>
  <c r="L8" i="9"/>
  <c r="J7" i="9"/>
  <c r="J8" i="9"/>
  <c r="N15" i="9"/>
  <c r="J4" i="9"/>
  <c r="L9" i="9"/>
  <c r="J9" i="9"/>
  <c r="L6" i="9"/>
  <c r="J6" i="9"/>
  <c r="L5" i="9"/>
  <c r="J5" i="9"/>
  <c r="L16" i="6"/>
  <c r="N16" i="6"/>
  <c r="L10" i="6"/>
  <c r="J10" i="6"/>
  <c r="J9" i="6"/>
  <c r="L9" i="6"/>
  <c r="L8" i="6"/>
  <c r="L4" i="6"/>
  <c r="L3" i="6"/>
  <c r="J4" i="6"/>
  <c r="J8" i="6"/>
  <c r="S13" i="4"/>
  <c r="J5" i="4"/>
  <c r="J4" i="4"/>
  <c r="S13" i="3"/>
  <c r="J5" i="3"/>
  <c r="J4" i="3"/>
  <c r="O17" i="2"/>
  <c r="L17" i="2"/>
  <c r="T17" i="2"/>
  <c r="J5" i="2"/>
  <c r="J4" i="2"/>
  <c r="S13" i="2"/>
  <c r="N15" i="6"/>
  <c r="H13" i="2"/>
  <c r="E13" i="2"/>
  <c r="F13" i="2"/>
  <c r="G15" i="2"/>
  <c r="B80" i="2"/>
  <c r="E16" i="2"/>
  <c r="F16" i="2"/>
  <c r="J105" i="2"/>
  <c r="H16" i="2"/>
  <c r="D17" i="2"/>
  <c r="C102" i="2"/>
  <c r="C9" i="2"/>
  <c r="H17" i="2"/>
  <c r="G14" i="2"/>
  <c r="B77" i="2"/>
  <c r="H14" i="2"/>
  <c r="D16" i="2"/>
  <c r="X17" i="2"/>
  <c r="E14" i="2"/>
  <c r="F14" i="2"/>
  <c r="G16" i="2"/>
  <c r="Q16" i="2"/>
  <c r="G13" i="2"/>
  <c r="Q13" i="2"/>
  <c r="E15" i="2"/>
  <c r="F15" i="2"/>
  <c r="H15" i="2"/>
  <c r="D13" i="2"/>
  <c r="D14" i="2"/>
  <c r="D15" i="2"/>
  <c r="H14" i="4"/>
  <c r="O16" i="6"/>
  <c r="N14" i="10"/>
  <c r="C78" i="10"/>
  <c r="X24" i="10"/>
  <c r="N16" i="10"/>
  <c r="R16" i="10"/>
  <c r="E15" i="4"/>
  <c r="T17" i="4"/>
  <c r="D13" i="4"/>
  <c r="D16" i="4"/>
  <c r="H102" i="4"/>
  <c r="G15" i="4"/>
  <c r="B80" i="4"/>
  <c r="C9" i="4"/>
  <c r="E16" i="4"/>
  <c r="V105" i="4"/>
  <c r="D15" i="4"/>
  <c r="H15" i="4"/>
  <c r="G14" i="4"/>
  <c r="B77" i="4"/>
  <c r="H16" i="4"/>
  <c r="G16" i="4"/>
  <c r="B83" i="4"/>
  <c r="D17" i="4"/>
  <c r="X18" i="4"/>
  <c r="I70" i="14"/>
  <c r="P18" i="15"/>
  <c r="Q18" i="15"/>
  <c r="L18" i="15"/>
  <c r="S13" i="15"/>
  <c r="I95" i="15"/>
  <c r="S13" i="14"/>
  <c r="I70" i="15"/>
  <c r="O22" i="15"/>
  <c r="U13" i="14"/>
  <c r="G14" i="11"/>
  <c r="C14" i="11"/>
  <c r="C10" i="11"/>
  <c r="E14" i="11"/>
  <c r="D14" i="11"/>
  <c r="U81" i="11"/>
  <c r="F14" i="11"/>
  <c r="H14" i="11"/>
  <c r="V18" i="15"/>
  <c r="T20" i="15"/>
  <c r="U20" i="15"/>
  <c r="R20" i="15"/>
  <c r="S20" i="15"/>
  <c r="L18" i="14"/>
  <c r="F14" i="13"/>
  <c r="E14" i="13"/>
  <c r="C10" i="13"/>
  <c r="H14" i="13"/>
  <c r="D14" i="13"/>
  <c r="U85" i="13"/>
  <c r="G14" i="13"/>
  <c r="C14" i="13"/>
  <c r="G15" i="6"/>
  <c r="H15" i="6"/>
  <c r="F15" i="6"/>
  <c r="C15" i="6"/>
  <c r="C11" i="6"/>
  <c r="E15" i="6"/>
  <c r="D15" i="6"/>
  <c r="U87" i="6"/>
  <c r="E14" i="9"/>
  <c r="D14" i="9"/>
  <c r="U82" i="9"/>
  <c r="F14" i="9"/>
  <c r="C10" i="9"/>
  <c r="C14" i="9"/>
  <c r="H14" i="9"/>
  <c r="C87" i="9"/>
  <c r="G14" i="9"/>
  <c r="C15" i="10"/>
  <c r="G14" i="10"/>
  <c r="F14" i="10"/>
  <c r="U17" i="10"/>
  <c r="H15" i="10"/>
  <c r="D15" i="10"/>
  <c r="C14" i="10"/>
  <c r="X23" i="10"/>
  <c r="E15" i="10"/>
  <c r="C86" i="10"/>
  <c r="U78" i="10"/>
  <c r="G15" i="10"/>
  <c r="H14" i="10"/>
  <c r="E14" i="10"/>
  <c r="C10" i="10"/>
  <c r="U77" i="10"/>
  <c r="F15" i="10"/>
  <c r="D14" i="10"/>
  <c r="C14" i="12"/>
  <c r="E14" i="12"/>
  <c r="H14" i="12"/>
  <c r="G14" i="12"/>
  <c r="F14" i="12"/>
  <c r="D14" i="12"/>
  <c r="U81" i="12"/>
  <c r="C10" i="12"/>
  <c r="O12" i="15"/>
  <c r="U17" i="9"/>
  <c r="C72" i="9"/>
  <c r="C78" i="9"/>
  <c r="W20" i="6"/>
  <c r="W15" i="6"/>
  <c r="W18" i="6"/>
  <c r="C76" i="13"/>
  <c r="C81" i="13"/>
  <c r="I83" i="15"/>
  <c r="L83" i="15"/>
  <c r="W22" i="11"/>
  <c r="W19" i="11"/>
  <c r="W17" i="11"/>
  <c r="T18" i="15"/>
  <c r="U18" i="15"/>
  <c r="V17" i="15"/>
  <c r="W13" i="15"/>
  <c r="X13" i="15"/>
  <c r="U17" i="12"/>
  <c r="C72" i="12"/>
  <c r="C76" i="12"/>
  <c r="U70" i="12"/>
  <c r="X14" i="12"/>
  <c r="U78" i="9"/>
  <c r="U72" i="9"/>
  <c r="X14" i="9"/>
  <c r="W17" i="9"/>
  <c r="W22" i="9"/>
  <c r="W19" i="9"/>
  <c r="U83" i="6"/>
  <c r="X23" i="6"/>
  <c r="X14" i="13"/>
  <c r="U75" i="13"/>
  <c r="U17" i="11"/>
  <c r="C78" i="11"/>
  <c r="C72" i="11"/>
  <c r="X14" i="11"/>
  <c r="U70" i="11"/>
  <c r="W17" i="12"/>
  <c r="W22" i="12"/>
  <c r="W19" i="12"/>
  <c r="W15" i="10"/>
  <c r="W18" i="10"/>
  <c r="U82" i="10"/>
  <c r="W20" i="10"/>
  <c r="U17" i="6"/>
  <c r="C75" i="6"/>
  <c r="C82" i="6"/>
  <c r="W17" i="13"/>
  <c r="W19" i="13"/>
  <c r="W22" i="13"/>
  <c r="O4" i="15"/>
  <c r="O13" i="15"/>
  <c r="C27" i="15"/>
  <c r="L4" i="15"/>
  <c r="D12" i="15"/>
  <c r="O3" i="15"/>
  <c r="G18" i="15"/>
  <c r="I75" i="15"/>
  <c r="F19" i="15"/>
  <c r="I21" i="15"/>
  <c r="F93" i="15"/>
  <c r="J22" i="15"/>
  <c r="F18" i="15"/>
  <c r="J19" i="15"/>
  <c r="J18" i="15"/>
  <c r="I20" i="15"/>
  <c r="F88" i="15"/>
  <c r="H22" i="15"/>
  <c r="G21" i="15"/>
  <c r="J17" i="15"/>
  <c r="G22" i="15"/>
  <c r="I17" i="15"/>
  <c r="F74" i="15"/>
  <c r="F17" i="15"/>
  <c r="E19" i="15"/>
  <c r="I18" i="15"/>
  <c r="F77" i="15"/>
  <c r="G19" i="15"/>
  <c r="H17" i="15"/>
  <c r="J20" i="15"/>
  <c r="E17" i="15"/>
  <c r="F22" i="15"/>
  <c r="E21" i="15"/>
  <c r="E22" i="15"/>
  <c r="I22" i="15"/>
  <c r="F99" i="15"/>
  <c r="H19" i="15"/>
  <c r="E20" i="15"/>
  <c r="F20" i="15"/>
  <c r="J21" i="15"/>
  <c r="H21" i="15"/>
  <c r="G17" i="15"/>
  <c r="G20" i="15"/>
  <c r="I19" i="15"/>
  <c r="F82" i="15"/>
  <c r="H20" i="15"/>
  <c r="F21" i="15"/>
  <c r="E18" i="15"/>
  <c r="H18" i="15"/>
  <c r="L75" i="15"/>
  <c r="C102" i="4"/>
  <c r="T14" i="4"/>
  <c r="H13" i="4"/>
  <c r="E14" i="4"/>
  <c r="F14" i="4"/>
  <c r="F15" i="4"/>
  <c r="E17" i="4"/>
  <c r="W15" i="4"/>
  <c r="X17" i="4"/>
  <c r="H17" i="4"/>
  <c r="G17" i="4"/>
  <c r="B87" i="4"/>
  <c r="D14" i="4"/>
  <c r="G13" i="4"/>
  <c r="D16" i="3"/>
  <c r="X17" i="3"/>
  <c r="D14" i="3"/>
  <c r="E17" i="3"/>
  <c r="G106" i="3"/>
  <c r="D17" i="3"/>
  <c r="X18" i="3"/>
  <c r="G14" i="3"/>
  <c r="B78" i="3"/>
  <c r="Q17" i="4"/>
  <c r="W16" i="4"/>
  <c r="B74" i="4"/>
  <c r="Q13" i="4"/>
  <c r="T13" i="4"/>
  <c r="F17" i="3"/>
  <c r="C106" i="3"/>
  <c r="B74" i="2"/>
  <c r="F17" i="4"/>
  <c r="C105" i="4"/>
  <c r="Q15" i="4"/>
  <c r="G105" i="4"/>
  <c r="Q16" i="4"/>
  <c r="T15" i="4"/>
  <c r="T16" i="4"/>
  <c r="W13" i="4"/>
  <c r="F16" i="4"/>
  <c r="J105" i="4"/>
  <c r="Q14" i="4"/>
  <c r="E14" i="3"/>
  <c r="F14" i="3"/>
  <c r="H16" i="3"/>
  <c r="W13" i="3"/>
  <c r="Q14" i="3"/>
  <c r="C103" i="3"/>
  <c r="E16" i="3"/>
  <c r="G16" i="3"/>
  <c r="E13" i="3"/>
  <c r="F13" i="3"/>
  <c r="G15" i="3"/>
  <c r="H15" i="3"/>
  <c r="G13" i="3"/>
  <c r="E15" i="3"/>
  <c r="F15" i="3"/>
  <c r="D15" i="3"/>
  <c r="W16" i="3"/>
  <c r="H14" i="3"/>
  <c r="W15" i="3"/>
  <c r="T14" i="3"/>
  <c r="H103" i="3"/>
  <c r="G17" i="3"/>
  <c r="D13" i="3"/>
  <c r="T17" i="3"/>
  <c r="H13" i="3"/>
  <c r="C9" i="3"/>
  <c r="O12" i="14"/>
  <c r="V18" i="14"/>
  <c r="T20" i="14"/>
  <c r="R20" i="14"/>
  <c r="S20" i="14"/>
  <c r="T15" i="2"/>
  <c r="T16" i="2"/>
  <c r="T14" i="2"/>
  <c r="Q15" i="2"/>
  <c r="Q14" i="2"/>
  <c r="X18" i="2"/>
  <c r="B83" i="2"/>
  <c r="H102" i="2"/>
  <c r="V105" i="2"/>
  <c r="W13" i="2"/>
  <c r="W15" i="2"/>
  <c r="F17" i="2"/>
  <c r="C105" i="2"/>
  <c r="W16" i="2"/>
  <c r="G17" i="2"/>
  <c r="T13" i="2"/>
  <c r="B88" i="3"/>
  <c r="Q17" i="3"/>
  <c r="Q13" i="3"/>
  <c r="B75" i="3"/>
  <c r="T13" i="3"/>
  <c r="V106" i="3"/>
  <c r="F16" i="3"/>
  <c r="J106" i="3"/>
  <c r="B84" i="3"/>
  <c r="Q16" i="3"/>
  <c r="T16" i="3"/>
  <c r="B81" i="3"/>
  <c r="T15" i="3"/>
  <c r="Q15" i="3"/>
  <c r="I83" i="14"/>
  <c r="U20" i="14"/>
  <c r="L83" i="14"/>
  <c r="V17" i="14"/>
  <c r="T18" i="14"/>
  <c r="U18" i="14"/>
  <c r="Q17" i="2"/>
  <c r="B87" i="2"/>
  <c r="W13" i="14"/>
  <c r="X13" i="14"/>
  <c r="F74" i="14"/>
  <c r="O13" i="14"/>
  <c r="C27" i="14"/>
  <c r="O4" i="14"/>
  <c r="L4" i="14"/>
  <c r="D12" i="14"/>
  <c r="O3" i="14"/>
  <c r="H22" i="14"/>
  <c r="I17" i="14"/>
  <c r="I20" i="14"/>
  <c r="F88" i="14"/>
  <c r="H19" i="14"/>
  <c r="J22" i="14"/>
  <c r="J21" i="14"/>
  <c r="J19" i="14"/>
  <c r="F17" i="14"/>
  <c r="G20" i="14"/>
  <c r="I18" i="14"/>
  <c r="F77" i="14"/>
  <c r="H21" i="14"/>
  <c r="F19" i="14"/>
  <c r="E20" i="14"/>
  <c r="E19" i="14"/>
  <c r="E22" i="14"/>
  <c r="E21" i="14"/>
  <c r="I21" i="14"/>
  <c r="F93" i="14"/>
  <c r="F21" i="14"/>
  <c r="G17" i="14"/>
  <c r="E18" i="14"/>
  <c r="F22" i="14"/>
  <c r="I22" i="14"/>
  <c r="F99" i="14"/>
  <c r="J18" i="14"/>
  <c r="J20" i="14"/>
  <c r="E17" i="14"/>
  <c r="F20" i="14"/>
  <c r="J17" i="14"/>
  <c r="H17" i="14"/>
  <c r="H18" i="14"/>
  <c r="L75" i="14"/>
  <c r="F18" i="14"/>
  <c r="G19" i="14"/>
  <c r="I19" i="14"/>
  <c r="F82" i="14"/>
  <c r="G18" i="14"/>
  <c r="I75" i="14"/>
  <c r="H20" i="14"/>
  <c r="G22" i="14"/>
  <c r="G21" i="14"/>
</calcChain>
</file>

<file path=xl/sharedStrings.xml><?xml version="1.0" encoding="utf-8"?>
<sst xmlns="http://schemas.openxmlformats.org/spreadsheetml/2006/main" count="617" uniqueCount="190">
  <si>
    <t>EASYPLAN</t>
  </si>
  <si>
    <t>výpočet hodnot pro zpracování kování</t>
  </si>
  <si>
    <t>Verze 2.2.0</t>
  </si>
  <si>
    <t>Co budete zpracovávat?</t>
  </si>
  <si>
    <t>Výklopy</t>
  </si>
  <si>
    <t>Výsuvy</t>
  </si>
  <si>
    <t>Potravinové skříně</t>
  </si>
  <si>
    <t>Tato aplikace slouží pro zjednodušení výpočtu hodnot pro nastavení šablon. V některých případech nemusí být výsledky přesné. Firma Blum neručí za škody způsobené použitím této aplikace.</t>
  </si>
  <si>
    <t xml:space="preserve">         Čtěte pečlivě poznámky pod tabulkami.</t>
  </si>
  <si>
    <r>
      <rPr>
        <b/>
        <sz val="18"/>
        <color indexed="8"/>
        <rFont val="Arial"/>
        <family val="2"/>
        <charset val="238"/>
      </rPr>
      <t>AVENTOS</t>
    </r>
    <r>
      <rPr>
        <sz val="18"/>
        <color indexed="8"/>
        <rFont val="Arial"/>
        <family val="2"/>
        <charset val="238"/>
      </rPr>
      <t xml:space="preserve"> - systémy výklopů</t>
    </r>
  </si>
  <si>
    <t>► Úvodní strana</t>
  </si>
  <si>
    <t>Vyberte typ zpracovávaného výklopného systému:</t>
  </si>
  <si>
    <t>AVENTOS HF</t>
  </si>
  <si>
    <t>AVENTOS HS</t>
  </si>
  <si>
    <t>AVENTOS HL</t>
  </si>
  <si>
    <t>AVENTOS HK</t>
  </si>
  <si>
    <t>AVENTOS HK-S</t>
  </si>
  <si>
    <t>AVENTOS HK-XS</t>
  </si>
  <si>
    <t xml:space="preserve"> AVENTOS HF</t>
  </si>
  <si>
    <t>► Úvod AVENTOS</t>
  </si>
  <si>
    <t>► Rozměry</t>
  </si>
  <si>
    <t>Parametry korpusu:</t>
  </si>
  <si>
    <t>Vyplnění:</t>
  </si>
  <si>
    <t>1 = OK</t>
  </si>
  <si>
    <t>KH - Výška korpusu</t>
  </si>
  <si>
    <t>2 = NE</t>
  </si>
  <si>
    <t>A. Tloušťka dna/půdy</t>
  </si>
  <si>
    <t>B. Tloušťka boku vpravo/vlevo</t>
  </si>
  <si>
    <t>C. Mezera nahoře</t>
  </si>
  <si>
    <t>D. Mezera mezi čely</t>
  </si>
  <si>
    <t>E. Mezera dole</t>
  </si>
  <si>
    <t>F. Mezera vpravo/vlevo</t>
  </si>
  <si>
    <t>Výsledky:</t>
  </si>
  <si>
    <t>Vrtání čela</t>
  </si>
  <si>
    <t>Vrtání korpusu</t>
  </si>
  <si>
    <t>480 - 549</t>
  </si>
  <si>
    <t>550 - 1040</t>
  </si>
  <si>
    <t>výška*</t>
  </si>
  <si>
    <t>vlevo</t>
  </si>
  <si>
    <t>vpravo</t>
  </si>
  <si>
    <t>výška**</t>
  </si>
  <si>
    <t>hloubka</t>
  </si>
  <si>
    <t>rozteč</t>
  </si>
  <si>
    <t>Korpus:</t>
  </si>
  <si>
    <t>vpravo/vlevo</t>
  </si>
  <si>
    <t>Korpus odspodu:</t>
  </si>
  <si>
    <t>FHu:</t>
  </si>
  <si>
    <t>Čelo:</t>
  </si>
  <si>
    <t>Všechny rozměry v mm!</t>
  </si>
  <si>
    <t xml:space="preserve">   Hodnoty vrtání čela platí pro ocelové montážní podložky!</t>
  </si>
  <si>
    <t xml:space="preserve">  * Vzdálenost od spodní hrany dolního čela na spodní otvor podložky </t>
  </si>
  <si>
    <t xml:space="preserve">    pro teleskopy</t>
  </si>
  <si>
    <t>od spodní hrany:</t>
  </si>
  <si>
    <t xml:space="preserve"> ** Vzdálenost od spodní hrany korpusu na osu vrtání pro zdvihač</t>
  </si>
  <si>
    <t>*** Mezera nahoře platí pro vrtání misky 5 mm od hrany. Chcete-li</t>
  </si>
  <si>
    <t xml:space="preserve">      mezeru menší nebo větší, přizpůsobte vzdálenost vrtání misky</t>
  </si>
  <si>
    <t xml:space="preserve">      (viz katalog).</t>
  </si>
  <si>
    <t xml:space="preserve"> Pro kontrolu výsledků použijte odkaz 'Rozměry'</t>
  </si>
  <si>
    <t>Vrtání korpusu:</t>
  </si>
  <si>
    <t>Vrtání čela:</t>
  </si>
  <si>
    <t>Zpět</t>
  </si>
  <si>
    <t xml:space="preserve"> Minimální výška korpusu:</t>
  </si>
  <si>
    <t>480 mm</t>
  </si>
  <si>
    <t xml:space="preserve"> Maximální výška korpusu:</t>
  </si>
  <si>
    <t>1040 mm</t>
  </si>
  <si>
    <t>350 - 800</t>
  </si>
  <si>
    <t>od horní hrany:</t>
  </si>
  <si>
    <r>
      <t xml:space="preserve">  * Vzdálenost od </t>
    </r>
    <r>
      <rPr>
        <sz val="11"/>
        <color indexed="10"/>
        <rFont val="Arial"/>
        <family val="2"/>
        <charset val="238"/>
      </rPr>
      <t>horní(!)</t>
    </r>
    <r>
      <rPr>
        <sz val="11"/>
        <color theme="1"/>
        <rFont val="Arial"/>
        <family val="2"/>
        <charset val="238"/>
      </rPr>
      <t xml:space="preserve"> hrany čela na první otvor čelního kování. </t>
    </r>
  </si>
  <si>
    <t>** Vzdálenost od spodní hrany korpusu na osu vrtání pro zdvihač</t>
  </si>
  <si>
    <t>350 mm</t>
  </si>
  <si>
    <t>800 mm</t>
  </si>
  <si>
    <t>300 - 349</t>
  </si>
  <si>
    <t>350 - 399</t>
  </si>
  <si>
    <t>400 - 550</t>
  </si>
  <si>
    <t>450 - 580</t>
  </si>
  <si>
    <t>výběr:</t>
  </si>
  <si>
    <t>Čelo odspodu:</t>
  </si>
  <si>
    <t>vlevo/vpravo:</t>
  </si>
  <si>
    <t xml:space="preserve">  * Vzdálenost od spodní hrany čela na první otvor čelního kování. </t>
  </si>
  <si>
    <t>300 mm</t>
  </si>
  <si>
    <t>580 mm</t>
  </si>
  <si>
    <t>205 - 600</t>
  </si>
  <si>
    <t>205 mm</t>
  </si>
  <si>
    <t>600 mm</t>
  </si>
  <si>
    <t>240 mm</t>
  </si>
  <si>
    <t>400 mm</t>
  </si>
  <si>
    <t xml:space="preserve">   Hodnoty platí pro naložené závěsy a nulové montážní podložky</t>
  </si>
  <si>
    <r>
      <t xml:space="preserve">   * Vzdálenost od </t>
    </r>
    <r>
      <rPr>
        <sz val="11"/>
        <color indexed="10"/>
        <rFont val="Arial"/>
        <family val="2"/>
        <charset val="238"/>
      </rPr>
      <t>horní(!)</t>
    </r>
    <r>
      <rPr>
        <sz val="11"/>
        <color theme="1"/>
        <rFont val="Arial"/>
        <family val="2"/>
        <charset val="238"/>
      </rPr>
      <t xml:space="preserve"> hrany čela na první otvor čelního kování. </t>
    </r>
  </si>
  <si>
    <t xml:space="preserve">  ** Vzdálenost od spodní hrany korpusu na osu vrtání pro boční čep.</t>
  </si>
  <si>
    <t xml:space="preserve">      Doporučujeme použít korpusovou šablonu s dorazem posunutým</t>
  </si>
  <si>
    <t xml:space="preserve">      na pozici pro vtrání montážních podložek - viz obrázek.</t>
  </si>
  <si>
    <t>►</t>
  </si>
  <si>
    <t>210 mm</t>
  </si>
  <si>
    <t>BOX SYSTÉMY</t>
  </si>
  <si>
    <t>Vyberte typ zpracovávaného box systému:</t>
  </si>
  <si>
    <t>TANDEMBOX antaro                   s BLUMOTION</t>
  </si>
  <si>
    <t>TANDEMBOX antaro                        s TIP-ON BLUMOTION</t>
  </si>
  <si>
    <t>LEGRABOX</t>
  </si>
  <si>
    <t>TANDEMBOX antaro</t>
  </si>
  <si>
    <t>► Úvod - box systémy</t>
  </si>
  <si>
    <t xml:space="preserve"> s BLUMOTION</t>
  </si>
  <si>
    <t>► Výsledky</t>
  </si>
  <si>
    <t>C. Mezera mezi čely</t>
  </si>
  <si>
    <t>D. Mezera dole</t>
  </si>
  <si>
    <t>E. Mezera vpravo/vlevo</t>
  </si>
  <si>
    <t>Pozice výsuvu</t>
  </si>
  <si>
    <t>Výška čela</t>
  </si>
  <si>
    <t>výška</t>
  </si>
  <si>
    <t>hloubka**</t>
  </si>
  <si>
    <t>Schema boku korpusu</t>
  </si>
  <si>
    <t>--------   5</t>
  </si>
  <si>
    <t>--------   4</t>
  </si>
  <si>
    <t>--------   3</t>
  </si>
  <si>
    <t>ostatní</t>
  </si>
  <si>
    <t>--------   2</t>
  </si>
  <si>
    <t>Dole</t>
  </si>
  <si>
    <t>--------   Dole</t>
  </si>
  <si>
    <t>pro výsuv 2 - 5:</t>
  </si>
  <si>
    <t>pro výsuv dole:</t>
  </si>
  <si>
    <t>Čela zadávejte od spodu. Můžete zadat až 5 čel.</t>
  </si>
  <si>
    <t xml:space="preserve">  Pozn: pro 5. pozici je nutné dokoupit tělo šablony. </t>
  </si>
  <si>
    <t xml:space="preserve">        Hodnoty vrtání čela neplatí pro zásuvky s bočnicemi výšky N!</t>
  </si>
  <si>
    <t xml:space="preserve">      ** Platí pro naložená čela a vnitřní výsuvy </t>
  </si>
  <si>
    <t xml:space="preserve">          U výsuvů s vloženými čely je nutné připočíst tloušťku čela a příp. zapuštění do korpusu</t>
  </si>
  <si>
    <t xml:space="preserve">          Pro kontrolu minimální výšky čela použijte odkaz 'Rozměry'</t>
  </si>
  <si>
    <t>Výsledky</t>
  </si>
  <si>
    <t>Vrtání boku korpusu:</t>
  </si>
  <si>
    <t>Vrtání čela Dole:</t>
  </si>
  <si>
    <t>Vrtání čela 2 až 5:</t>
  </si>
  <si>
    <t>FH = výška čela</t>
  </si>
  <si>
    <t>Potřebný prostor v korpusu:</t>
  </si>
  <si>
    <t xml:space="preserve">         Minimální výška čela:</t>
  </si>
  <si>
    <t xml:space="preserve">         - zásuvka nahoře = potřebný prostor + přesah čela přes horní desku nebo vlys</t>
  </si>
  <si>
    <t xml:space="preserve">         - zásuvky a výsuvy uprostřed = potřebný prostor</t>
  </si>
  <si>
    <t xml:space="preserve">         - výsuv dole = potřebný prostor + přesah čela přes dno</t>
  </si>
  <si>
    <t xml:space="preserve"> s TIP-ON BLUMOTION</t>
  </si>
  <si>
    <t xml:space="preserve">      ** Platí pro naložená čela</t>
  </si>
  <si>
    <t xml:space="preserve">          U vnitřních výsuvů s TIP-ON BLUMOTION je nutné posunout pozici korpusové lišty</t>
  </si>
  <si>
    <t xml:space="preserve">          o min. 7 mm směrem do korpusu!</t>
  </si>
  <si>
    <t xml:space="preserve"> </t>
  </si>
  <si>
    <t xml:space="preserve">      * Zvýšená pozice korpusové lišty u dna o 1mm pro případ montáže lišt na bok</t>
  </si>
  <si>
    <t xml:space="preserve">         korpusu v rozloženém stavu.</t>
  </si>
  <si>
    <t xml:space="preserve">     ** Platí pro naložená čela a vnitřní výsuvy s BLUMOTION</t>
  </si>
  <si>
    <t xml:space="preserve">         U výsuvů s vloženými čely je nutné připočíst tloušťku čela a příp. zapuštění do korpusu</t>
  </si>
  <si>
    <t xml:space="preserve">         U vnitřních výsuvů s TIP-ON je nutné posunout pozici korpusové lišty o min. 7 mm</t>
  </si>
  <si>
    <t xml:space="preserve">         směrem do korpusu!</t>
  </si>
  <si>
    <r>
      <t>SPACE TOWER</t>
    </r>
    <r>
      <rPr>
        <sz val="18"/>
        <color indexed="8"/>
        <rFont val="Arial"/>
        <family val="2"/>
        <charset val="238"/>
      </rPr>
      <t xml:space="preserve"> - potravinové skříně</t>
    </r>
  </si>
  <si>
    <t>Vyberte typ box systému:</t>
  </si>
  <si>
    <t>LEGRABOX pure / free</t>
  </si>
  <si>
    <t>SPACE TOWER</t>
  </si>
  <si>
    <t>► Úvod potr.skříně</t>
  </si>
  <si>
    <t>KB - Šířka korpusu</t>
  </si>
  <si>
    <t>E. Mezera na straně závěsů</t>
  </si>
  <si>
    <t>Počet závěsů (3 nebo 4)</t>
  </si>
  <si>
    <t>min.výšky</t>
  </si>
  <si>
    <t>výška korpusu</t>
  </si>
  <si>
    <t>výška korp. min.</t>
  </si>
  <si>
    <t>min.</t>
  </si>
  <si>
    <t>skut.</t>
  </si>
  <si>
    <t>Pozice</t>
  </si>
  <si>
    <t>Doporučené výšky</t>
  </si>
  <si>
    <t>Úložná výška</t>
  </si>
  <si>
    <t>Vrtání závěsů / podložek</t>
  </si>
  <si>
    <t>Vrtání korpusu**</t>
  </si>
  <si>
    <t>3 závěsy*</t>
  </si>
  <si>
    <t>4 závěsy*</t>
  </si>
  <si>
    <r>
      <t xml:space="preserve">   min. výška V</t>
    </r>
    <r>
      <rPr>
        <sz val="8"/>
        <color indexed="8"/>
        <rFont val="Arial"/>
        <family val="2"/>
        <charset val="238"/>
      </rPr>
      <t>x</t>
    </r>
  </si>
  <si>
    <t xml:space="preserve">              min. úložná výška</t>
  </si>
  <si>
    <t xml:space="preserve">        3 závěsy</t>
  </si>
  <si>
    <t xml:space="preserve">         4 závěsy</t>
  </si>
  <si>
    <t xml:space="preserve">                    lišty</t>
  </si>
  <si>
    <t>korpus</t>
  </si>
  <si>
    <t>dveře</t>
  </si>
  <si>
    <t>3 záv.</t>
  </si>
  <si>
    <t>4 záv.</t>
  </si>
  <si>
    <t>výsl.</t>
  </si>
  <si>
    <t>rozměr</t>
  </si>
  <si>
    <t>Horní police</t>
  </si>
  <si>
    <t xml:space="preserve"> --</t>
  </si>
  <si>
    <t>Rozměry pro krácení:</t>
  </si>
  <si>
    <t>Úložné výšky zadávejte od spodu. Složení: 4x výsuv D a 1x zásuvka M</t>
  </si>
  <si>
    <t>Přířezy:</t>
  </si>
  <si>
    <t>čelní profil:</t>
  </si>
  <si>
    <t>přední reling:</t>
  </si>
  <si>
    <t xml:space="preserve">       * Horní závěs je vždy 80 mm od horní hrany korpusu.</t>
  </si>
  <si>
    <t xml:space="preserve">      ** Platí pro výsuvy s BLUMOTION</t>
  </si>
  <si>
    <t xml:space="preserve">          Pro kontrolu výsledných rozměrů použijte odkaz 'Rozměry'</t>
  </si>
  <si>
    <t>Rozměry:</t>
  </si>
  <si>
    <t>LEGRABOX pure/free</t>
  </si>
  <si>
    <t>čelní sklo: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</si>
</sst>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Arial"/>
      <family val="2"/>
      <charset val="238"/>
    </font>
    <font>
      <sz val="1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rgb="FFFF0000"/>
      <name val="Arial"/>
      <family val="2"/>
      <charset val="238"/>
    </font>
    <font>
      <sz val="20"/>
      <color theme="1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1"/>
      <color rgb="FFFF0000"/>
      <name val="Calibri"/>
      <family val="2"/>
    </font>
    <font>
      <sz val="10"/>
      <color theme="1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sz val="11"/>
      <color theme="2" tint="-0.749992370372631"/>
      <name val="Arial"/>
      <family val="2"/>
      <charset val="238"/>
    </font>
    <font>
      <sz val="14"/>
      <color theme="0" tint="-0.499984740745262"/>
      <name val="Arial"/>
      <family val="2"/>
      <charset val="238"/>
    </font>
    <font>
      <sz val="11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6">
    <xf numFmtId="0" fontId="0" fillId="0" borderId="0" xfId="0"/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0" xfId="0" applyAlignment="1" applyProtection="1">
      <alignment vertical="center" textRotation="90"/>
      <protection hidden="1"/>
    </xf>
    <xf numFmtId="0" fontId="0" fillId="0" borderId="2" xfId="0" quotePrefix="1" applyBorder="1" applyProtection="1">
      <protection hidden="1"/>
    </xf>
    <xf numFmtId="0" fontId="0" fillId="0" borderId="3" xfId="0" quotePrefix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4" xfId="0" quotePrefix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9" fillId="0" borderId="0" xfId="0" applyFont="1"/>
    <xf numFmtId="0" fontId="0" fillId="0" borderId="0" xfId="0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2" fillId="0" borderId="0" xfId="0" applyFont="1" applyAlignment="1" applyProtection="1">
      <alignment horizontal="left" indent="1"/>
      <protection hidden="1"/>
    </xf>
    <xf numFmtId="0" fontId="0" fillId="0" borderId="0" xfId="0" applyAlignment="1">
      <alignment horizontal="center"/>
    </xf>
    <xf numFmtId="0" fontId="0" fillId="2" borderId="17" xfId="0" applyFill="1" applyBorder="1" applyAlignment="1">
      <alignment horizontal="center" vertical="center" wrapText="1"/>
    </xf>
    <xf numFmtId="0" fontId="1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quotePrefix="1" applyBorder="1" applyAlignment="1" applyProtection="1">
      <alignment vertical="center" textRotation="90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wrapText="1"/>
      <protection hidden="1"/>
    </xf>
    <xf numFmtId="0" fontId="1" fillId="0" borderId="0" xfId="0" applyFont="1"/>
    <xf numFmtId="0" fontId="0" fillId="2" borderId="17" xfId="0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0" fillId="0" borderId="7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vertical="top"/>
      <protection hidden="1"/>
    </xf>
    <xf numFmtId="0" fontId="0" fillId="0" borderId="3" xfId="0" applyBorder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vertical="center"/>
    </xf>
    <xf numFmtId="0" fontId="3" fillId="0" borderId="0" xfId="0" applyFont="1" applyProtection="1"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3" borderId="18" xfId="0" applyFill="1" applyBorder="1" applyAlignment="1">
      <alignment horizontal="left" vertical="center" wrapText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3" borderId="18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8" fillId="0" borderId="0" xfId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 textRotation="90"/>
      <protection hidden="1"/>
    </xf>
    <xf numFmtId="0" fontId="0" fillId="0" borderId="0" xfId="0" quotePrefix="1" applyFill="1" applyBorder="1" applyAlignment="1" applyProtection="1">
      <alignment vertical="center" textRotation="90"/>
      <protection hidden="1"/>
    </xf>
    <xf numFmtId="0" fontId="0" fillId="0" borderId="0" xfId="0" applyFill="1" applyBorder="1" applyAlignment="1" applyProtection="1">
      <alignment vertical="center" textRotation="90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3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indent="5"/>
      <protection hidden="1"/>
    </xf>
    <xf numFmtId="0" fontId="0" fillId="0" borderId="0" xfId="0" applyAlignment="1" applyProtection="1">
      <alignment horizontal="left" indent="6"/>
      <protection hidden="1"/>
    </xf>
    <xf numFmtId="0" fontId="9" fillId="0" borderId="0" xfId="0" applyFont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vertical="top"/>
    </xf>
    <xf numFmtId="0" fontId="0" fillId="0" borderId="1" xfId="0" applyBorder="1" applyAlignment="1" applyProtection="1">
      <alignment horizontal="right" vertical="center"/>
      <protection hidden="1"/>
    </xf>
    <xf numFmtId="0" fontId="15" fillId="0" borderId="1" xfId="0" applyFont="1" applyBorder="1" applyAlignment="1" applyProtection="1">
      <alignment horizontal="right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0" fillId="0" borderId="0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10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0" xfId="0" applyAlignment="1" applyProtection="1">
      <alignment horizontal="left" indent="4"/>
      <protection hidden="1"/>
    </xf>
    <xf numFmtId="0" fontId="0" fillId="0" borderId="0" xfId="0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12" xfId="1" applyBorder="1" applyAlignment="1" applyProtection="1">
      <alignment horizontal="center"/>
      <protection hidden="1"/>
    </xf>
    <xf numFmtId="0" fontId="22" fillId="0" borderId="12" xfId="1" applyFont="1" applyBorder="1" applyAlignment="1" applyProtection="1">
      <alignment horizontal="center"/>
      <protection hidden="1"/>
    </xf>
    <xf numFmtId="0" fontId="17" fillId="0" borderId="12" xfId="1" applyFont="1" applyFill="1" applyBorder="1" applyAlignment="1">
      <alignment horizontal="left" vertical="center" wrapText="1"/>
    </xf>
    <xf numFmtId="0" fontId="17" fillId="3" borderId="5" xfId="1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8" xfId="0" quotePrefix="1" applyBorder="1" applyAlignment="1" applyProtection="1">
      <alignment horizontal="center" vertical="center" textRotation="90"/>
      <protection hidden="1"/>
    </xf>
    <xf numFmtId="0" fontId="0" fillId="0" borderId="8" xfId="0" applyBorder="1" applyAlignment="1" applyProtection="1">
      <alignment horizontal="center" vertical="center" textRotation="90"/>
      <protection hidden="1"/>
    </xf>
    <xf numFmtId="0" fontId="15" fillId="0" borderId="10" xfId="0" applyFont="1" applyBorder="1" applyAlignment="1" applyProtection="1">
      <alignment horizontal="left" vertical="center" indent="1"/>
      <protection hidden="1"/>
    </xf>
    <xf numFmtId="0" fontId="15" fillId="0" borderId="12" xfId="0" applyFont="1" applyBorder="1" applyAlignment="1" applyProtection="1">
      <alignment horizontal="left" vertical="center" indent="1"/>
      <protection hidden="1"/>
    </xf>
    <xf numFmtId="0" fontId="15" fillId="0" borderId="13" xfId="0" applyFont="1" applyBorder="1" applyAlignment="1" applyProtection="1">
      <alignment horizontal="left" vertical="center" indent="1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textRotation="90" wrapText="1"/>
      <protection hidden="1"/>
    </xf>
    <xf numFmtId="0" fontId="0" fillId="0" borderId="10" xfId="0" applyFont="1" applyBorder="1" applyAlignment="1" applyProtection="1">
      <alignment horizontal="left" vertical="center" wrapText="1" indent="1"/>
      <protection hidden="1"/>
    </xf>
    <xf numFmtId="0" fontId="0" fillId="0" borderId="12" xfId="0" applyFont="1" applyBorder="1" applyAlignment="1" applyProtection="1">
      <alignment horizontal="left" vertical="center" wrapText="1" indent="1"/>
      <protection hidden="1"/>
    </xf>
    <xf numFmtId="0" fontId="0" fillId="0" borderId="13" xfId="0" applyFont="1" applyBorder="1" applyAlignment="1" applyProtection="1">
      <alignment horizontal="left" vertical="center" wrapText="1" indent="1"/>
      <protection hidden="1"/>
    </xf>
    <xf numFmtId="0" fontId="15" fillId="0" borderId="10" xfId="0" applyFont="1" applyBorder="1" applyAlignment="1" applyProtection="1">
      <alignment horizontal="center" wrapText="1"/>
      <protection hidden="1"/>
    </xf>
    <xf numFmtId="0" fontId="15" fillId="0" borderId="12" xfId="0" applyFont="1" applyBorder="1" applyAlignment="1" applyProtection="1">
      <alignment horizontal="center" wrapText="1"/>
      <protection hidden="1"/>
    </xf>
    <xf numFmtId="0" fontId="15" fillId="0" borderId="13" xfId="0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alignment horizontal="center" wrapText="1"/>
      <protection hidden="1"/>
    </xf>
    <xf numFmtId="0" fontId="0" fillId="0" borderId="13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 textRotation="90" wrapText="1"/>
      <protection hidden="1"/>
    </xf>
    <xf numFmtId="0" fontId="0" fillId="0" borderId="10" xfId="0" applyFont="1" applyBorder="1" applyAlignment="1" applyProtection="1">
      <alignment horizontal="center" wrapText="1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5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png"/><Relationship Id="rId3" Type="http://schemas.openxmlformats.org/officeDocument/2006/relationships/image" Target="../media/image1.png"/><Relationship Id="rId7" Type="http://schemas.openxmlformats.org/officeDocument/2006/relationships/image" Target="../media/image38.png"/><Relationship Id="rId2" Type="http://schemas.openxmlformats.org/officeDocument/2006/relationships/image" Target="../media/image34.png"/><Relationship Id="rId1" Type="http://schemas.openxmlformats.org/officeDocument/2006/relationships/image" Target="../media/image36.png"/><Relationship Id="rId6" Type="http://schemas.openxmlformats.org/officeDocument/2006/relationships/image" Target="../media/image13.png"/><Relationship Id="rId5" Type="http://schemas.openxmlformats.org/officeDocument/2006/relationships/image" Target="../media/image37.jpeg"/><Relationship Id="rId4" Type="http://schemas.openxmlformats.org/officeDocument/2006/relationships/image" Target="../media/image12.png"/><Relationship Id="rId9" Type="http://schemas.openxmlformats.org/officeDocument/2006/relationships/image" Target="../media/image40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png"/><Relationship Id="rId3" Type="http://schemas.openxmlformats.org/officeDocument/2006/relationships/image" Target="../media/image13.png"/><Relationship Id="rId7" Type="http://schemas.openxmlformats.org/officeDocument/2006/relationships/image" Target="../media/image38.png"/><Relationship Id="rId2" Type="http://schemas.openxmlformats.org/officeDocument/2006/relationships/image" Target="../media/image36.png"/><Relationship Id="rId1" Type="http://schemas.openxmlformats.org/officeDocument/2006/relationships/image" Target="../media/image35.png"/><Relationship Id="rId6" Type="http://schemas.openxmlformats.org/officeDocument/2006/relationships/image" Target="../media/image37.jpeg"/><Relationship Id="rId5" Type="http://schemas.openxmlformats.org/officeDocument/2006/relationships/image" Target="../media/image12.png"/><Relationship Id="rId4" Type="http://schemas.openxmlformats.org/officeDocument/2006/relationships/image" Target="../media/image1.png"/><Relationship Id="rId9" Type="http://schemas.openxmlformats.org/officeDocument/2006/relationships/image" Target="../media/image40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png"/><Relationship Id="rId3" Type="http://schemas.openxmlformats.org/officeDocument/2006/relationships/image" Target="../media/image41.png"/><Relationship Id="rId7" Type="http://schemas.openxmlformats.org/officeDocument/2006/relationships/image" Target="../media/image43.png"/><Relationship Id="rId12" Type="http://schemas.openxmlformats.org/officeDocument/2006/relationships/image" Target="../media/image46.png"/><Relationship Id="rId2" Type="http://schemas.openxmlformats.org/officeDocument/2006/relationships/image" Target="../media/image13.png"/><Relationship Id="rId1" Type="http://schemas.openxmlformats.org/officeDocument/2006/relationships/image" Target="../media/image36.png"/><Relationship Id="rId6" Type="http://schemas.openxmlformats.org/officeDocument/2006/relationships/image" Target="../media/image12.png"/><Relationship Id="rId11" Type="http://schemas.openxmlformats.org/officeDocument/2006/relationships/image" Target="../media/image45.png"/><Relationship Id="rId5" Type="http://schemas.openxmlformats.org/officeDocument/2006/relationships/image" Target="../media/image1.png"/><Relationship Id="rId10" Type="http://schemas.openxmlformats.org/officeDocument/2006/relationships/image" Target="../media/image38.png"/><Relationship Id="rId4" Type="http://schemas.openxmlformats.org/officeDocument/2006/relationships/image" Target="../media/image42.png"/><Relationship Id="rId9" Type="http://schemas.openxmlformats.org/officeDocument/2006/relationships/image" Target="../media/image3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7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.png"/><Relationship Id="rId1" Type="http://schemas.openxmlformats.org/officeDocument/2006/relationships/image" Target="../media/image34.png"/><Relationship Id="rId6" Type="http://schemas.openxmlformats.org/officeDocument/2006/relationships/image" Target="../media/image2.png"/><Relationship Id="rId5" Type="http://schemas.openxmlformats.org/officeDocument/2006/relationships/image" Target="../media/image49.png"/><Relationship Id="rId4" Type="http://schemas.openxmlformats.org/officeDocument/2006/relationships/image" Target="../media/image48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.png"/><Relationship Id="rId1" Type="http://schemas.openxmlformats.org/officeDocument/2006/relationships/image" Target="../media/image34.png"/><Relationship Id="rId6" Type="http://schemas.openxmlformats.org/officeDocument/2006/relationships/image" Target="../media/image47.png"/><Relationship Id="rId5" Type="http://schemas.openxmlformats.org/officeDocument/2006/relationships/image" Target="../media/image49.png"/><Relationship Id="rId4" Type="http://schemas.openxmlformats.org/officeDocument/2006/relationships/image" Target="../media/image4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3.png"/><Relationship Id="rId7" Type="http://schemas.openxmlformats.org/officeDocument/2006/relationships/image" Target="../media/image16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18.png"/><Relationship Id="rId7" Type="http://schemas.openxmlformats.org/officeDocument/2006/relationships/image" Target="../media/image21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13.png"/><Relationship Id="rId7" Type="http://schemas.openxmlformats.org/officeDocument/2006/relationships/image" Target="../media/image22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18.png"/><Relationship Id="rId7" Type="http://schemas.openxmlformats.org/officeDocument/2006/relationships/image" Target="../media/image25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24.png"/><Relationship Id="rId5" Type="http://schemas.openxmlformats.org/officeDocument/2006/relationships/image" Target="../media/image23.png"/><Relationship Id="rId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3" Type="http://schemas.openxmlformats.org/officeDocument/2006/relationships/image" Target="../media/image18.png"/><Relationship Id="rId7" Type="http://schemas.openxmlformats.org/officeDocument/2006/relationships/image" Target="../media/image27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26.png"/><Relationship Id="rId4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7" Type="http://schemas.openxmlformats.org/officeDocument/2006/relationships/image" Target="../media/image31.png"/><Relationship Id="rId2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png"/><Relationship Id="rId2" Type="http://schemas.openxmlformats.org/officeDocument/2006/relationships/image" Target="../media/image32.png"/><Relationship Id="rId1" Type="http://schemas.openxmlformats.org/officeDocument/2006/relationships/image" Target="../media/image1.png"/><Relationship Id="rId6" Type="http://schemas.openxmlformats.org/officeDocument/2006/relationships/image" Target="../media/image35.png"/><Relationship Id="rId5" Type="http://schemas.openxmlformats.org/officeDocument/2006/relationships/image" Target="../media/image6.png"/><Relationship Id="rId4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19</xdr:row>
      <xdr:rowOff>95250</xdr:rowOff>
    </xdr:from>
    <xdr:to>
      <xdr:col>1</xdr:col>
      <xdr:colOff>304800</xdr:colOff>
      <xdr:row>21</xdr:row>
      <xdr:rowOff>0</xdr:rowOff>
    </xdr:to>
    <xdr:pic>
      <xdr:nvPicPr>
        <xdr:cNvPr id="31830" name="Obrázek 20" descr="Notice.gif">
          <a:extLst>
            <a:ext uri="{FF2B5EF4-FFF2-40B4-BE49-F238E27FC236}">
              <a16:creationId xmlns:a16="http://schemas.microsoft.com/office/drawing/2014/main" id="{3C59E61F-7E20-483B-92F7-5BD0C78CD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46722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3</xdr:row>
      <xdr:rowOff>104775</xdr:rowOff>
    </xdr:from>
    <xdr:to>
      <xdr:col>3</xdr:col>
      <xdr:colOff>1581150</xdr:colOff>
      <xdr:row>13</xdr:row>
      <xdr:rowOff>133350</xdr:rowOff>
    </xdr:to>
    <xdr:pic>
      <xdr:nvPicPr>
        <xdr:cNvPr id="31831" name="Obrázek 1">
          <a:extLst>
            <a:ext uri="{FF2B5EF4-FFF2-40B4-BE49-F238E27FC236}">
              <a16:creationId xmlns:a16="http://schemas.microsoft.com/office/drawing/2014/main" id="{87E4820A-CBD9-4ACE-9A77-5DB9C3EDC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904875"/>
          <a:ext cx="1162050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5</xdr:row>
      <xdr:rowOff>66675</xdr:rowOff>
    </xdr:from>
    <xdr:to>
      <xdr:col>2</xdr:col>
      <xdr:colOff>1790700</xdr:colOff>
      <xdr:row>12</xdr:row>
      <xdr:rowOff>0</xdr:rowOff>
    </xdr:to>
    <xdr:pic>
      <xdr:nvPicPr>
        <xdr:cNvPr id="31832" name="Obrázek 2">
          <a:extLst>
            <a:ext uri="{FF2B5EF4-FFF2-40B4-BE49-F238E27FC236}">
              <a16:creationId xmlns:a16="http://schemas.microsoft.com/office/drawing/2014/main" id="{9B680392-4664-49F3-B22B-0A0040C2B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228725"/>
          <a:ext cx="15716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23</xdr:row>
      <xdr:rowOff>0</xdr:rowOff>
    </xdr:from>
    <xdr:to>
      <xdr:col>2</xdr:col>
      <xdr:colOff>1019175</xdr:colOff>
      <xdr:row>31</xdr:row>
      <xdr:rowOff>0</xdr:rowOff>
    </xdr:to>
    <xdr:pic>
      <xdr:nvPicPr>
        <xdr:cNvPr id="31833" name="Obrázek 1">
          <a:extLst>
            <a:ext uri="{FF2B5EF4-FFF2-40B4-BE49-F238E27FC236}">
              <a16:creationId xmlns:a16="http://schemas.microsoft.com/office/drawing/2014/main" id="{5BAAD70D-80B9-49CE-843D-AF1890343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095875"/>
          <a:ext cx="24384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</xdr:row>
      <xdr:rowOff>66675</xdr:rowOff>
    </xdr:from>
    <xdr:to>
      <xdr:col>1</xdr:col>
      <xdr:colOff>1666875</xdr:colOff>
      <xdr:row>11</xdr:row>
      <xdr:rowOff>171450</xdr:rowOff>
    </xdr:to>
    <xdr:pic>
      <xdr:nvPicPr>
        <xdr:cNvPr id="31835" name="Obrázek 1">
          <a:extLst>
            <a:ext uri="{FF2B5EF4-FFF2-40B4-BE49-F238E27FC236}">
              <a16:creationId xmlns:a16="http://schemas.microsoft.com/office/drawing/2014/main" id="{40E5B3D6-DC7B-40A0-8522-0040EFCBF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47750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752475</xdr:colOff>
      <xdr:row>1</xdr:row>
      <xdr:rowOff>47625</xdr:rowOff>
    </xdr:from>
    <xdr:to>
      <xdr:col>3</xdr:col>
      <xdr:colOff>1847850</xdr:colOff>
      <xdr:row>1</xdr:row>
      <xdr:rowOff>352425</xdr:rowOff>
    </xdr:to>
    <xdr:pic>
      <xdr:nvPicPr>
        <xdr:cNvPr id="31836" name="Obrázek 2">
          <a:extLst>
            <a:ext uri="{FF2B5EF4-FFF2-40B4-BE49-F238E27FC236}">
              <a16:creationId xmlns:a16="http://schemas.microsoft.com/office/drawing/2014/main" id="{900FB3FD-2A88-41A5-97AE-4CB41F23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23825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</xdr:colOff>
      <xdr:row>10</xdr:row>
      <xdr:rowOff>142875</xdr:rowOff>
    </xdr:from>
    <xdr:to>
      <xdr:col>21</xdr:col>
      <xdr:colOff>219075</xdr:colOff>
      <xdr:row>17</xdr:row>
      <xdr:rowOff>104775</xdr:rowOff>
    </xdr:to>
    <xdr:pic>
      <xdr:nvPicPr>
        <xdr:cNvPr id="28958" name="Obrázek 13">
          <a:extLst>
            <a:ext uri="{FF2B5EF4-FFF2-40B4-BE49-F238E27FC236}">
              <a16:creationId xmlns:a16="http://schemas.microsoft.com/office/drawing/2014/main" id="{146ABBAF-ACF0-482A-A808-F8AE84D0F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371725"/>
          <a:ext cx="838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0</xdr:row>
      <xdr:rowOff>47625</xdr:rowOff>
    </xdr:from>
    <xdr:to>
      <xdr:col>8</xdr:col>
      <xdr:colOff>9525</xdr:colOff>
      <xdr:row>1</xdr:row>
      <xdr:rowOff>133350</xdr:rowOff>
    </xdr:to>
    <xdr:pic>
      <xdr:nvPicPr>
        <xdr:cNvPr id="28959" name="Obrázek 3">
          <a:extLst>
            <a:ext uri="{FF2B5EF4-FFF2-40B4-BE49-F238E27FC236}">
              <a16:creationId xmlns:a16="http://schemas.microsoft.com/office/drawing/2014/main" id="{2E068715-7C92-488D-BBAA-9D2DD7CD3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47625"/>
          <a:ext cx="1095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20</xdr:row>
      <xdr:rowOff>95250</xdr:rowOff>
    </xdr:from>
    <xdr:to>
      <xdr:col>1</xdr:col>
      <xdr:colOff>285750</xdr:colOff>
      <xdr:row>22</xdr:row>
      <xdr:rowOff>0</xdr:rowOff>
    </xdr:to>
    <xdr:pic>
      <xdr:nvPicPr>
        <xdr:cNvPr id="28960" name="Obrázek 20" descr="Notice.gif">
          <a:extLst>
            <a:ext uri="{FF2B5EF4-FFF2-40B4-BE49-F238E27FC236}">
              <a16:creationId xmlns:a16="http://schemas.microsoft.com/office/drawing/2014/main" id="{DC53C89C-A81E-4922-97F9-947496DE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05777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19050</xdr:rowOff>
    </xdr:from>
    <xdr:to>
      <xdr:col>1</xdr:col>
      <xdr:colOff>190500</xdr:colOff>
      <xdr:row>24</xdr:row>
      <xdr:rowOff>0</xdr:rowOff>
    </xdr:to>
    <xdr:pic>
      <xdr:nvPicPr>
        <xdr:cNvPr id="28961" name="Obrázek 28" descr="Info.gif">
          <a:extLst>
            <a:ext uri="{FF2B5EF4-FFF2-40B4-BE49-F238E27FC236}">
              <a16:creationId xmlns:a16="http://schemas.microsoft.com/office/drawing/2014/main" id="{B6A031C9-D054-46E5-AAB6-E5D5F638C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5245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</xdr:row>
      <xdr:rowOff>0</xdr:rowOff>
    </xdr:from>
    <xdr:to>
      <xdr:col>30</xdr:col>
      <xdr:colOff>28575</xdr:colOff>
      <xdr:row>14</xdr:row>
      <xdr:rowOff>295275</xdr:rowOff>
    </xdr:to>
    <xdr:pic>
      <xdr:nvPicPr>
        <xdr:cNvPr id="28962" name="Obrázek 10">
          <a:extLst>
            <a:ext uri="{FF2B5EF4-FFF2-40B4-BE49-F238E27FC236}">
              <a16:creationId xmlns:a16="http://schemas.microsoft.com/office/drawing/2014/main" id="{F15E80BF-0192-4B23-827B-3569A4F4E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23850"/>
          <a:ext cx="277177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130</xdr:row>
      <xdr:rowOff>19050</xdr:rowOff>
    </xdr:from>
    <xdr:to>
      <xdr:col>1</xdr:col>
      <xdr:colOff>285750</xdr:colOff>
      <xdr:row>131</xdr:row>
      <xdr:rowOff>0</xdr:rowOff>
    </xdr:to>
    <xdr:pic>
      <xdr:nvPicPr>
        <xdr:cNvPr id="28963" name="Obrázek 28" descr="Info.gif">
          <a:extLst>
            <a:ext uri="{FF2B5EF4-FFF2-40B4-BE49-F238E27FC236}">
              <a16:creationId xmlns:a16="http://schemas.microsoft.com/office/drawing/2014/main" id="{B01666EB-BD68-486D-91E9-5C2E4B6F0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6221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600075</xdr:colOff>
      <xdr:row>12</xdr:row>
      <xdr:rowOff>104775</xdr:rowOff>
    </xdr:from>
    <xdr:to>
      <xdr:col>23</xdr:col>
      <xdr:colOff>685800</xdr:colOff>
      <xdr:row>16</xdr:row>
      <xdr:rowOff>180975</xdr:rowOff>
    </xdr:to>
    <xdr:pic>
      <xdr:nvPicPr>
        <xdr:cNvPr id="28964" name="Obrázek 9">
          <a:extLst>
            <a:ext uri="{FF2B5EF4-FFF2-40B4-BE49-F238E27FC236}">
              <a16:creationId xmlns:a16="http://schemas.microsoft.com/office/drawing/2014/main" id="{734C2226-7746-4292-8345-1BCD4E459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27146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71</xdr:row>
      <xdr:rowOff>228600</xdr:rowOff>
    </xdr:from>
    <xdr:to>
      <xdr:col>6</xdr:col>
      <xdr:colOff>314325</xdr:colOff>
      <xdr:row>91</xdr:row>
      <xdr:rowOff>104775</xdr:rowOff>
    </xdr:to>
    <xdr:pic>
      <xdr:nvPicPr>
        <xdr:cNvPr id="28966" name="Obrázek 1">
          <a:extLst>
            <a:ext uri="{FF2B5EF4-FFF2-40B4-BE49-F238E27FC236}">
              <a16:creationId xmlns:a16="http://schemas.microsoft.com/office/drawing/2014/main" id="{7285CAA7-838C-4E41-8B15-292157BE7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325600"/>
          <a:ext cx="3000375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93</xdr:row>
      <xdr:rowOff>85725</xdr:rowOff>
    </xdr:from>
    <xdr:to>
      <xdr:col>22</xdr:col>
      <xdr:colOff>161925</xdr:colOff>
      <xdr:row>105</xdr:row>
      <xdr:rowOff>28575</xdr:rowOff>
    </xdr:to>
    <xdr:pic>
      <xdr:nvPicPr>
        <xdr:cNvPr id="28967" name="Obrázek 2">
          <a:extLst>
            <a:ext uri="{FF2B5EF4-FFF2-40B4-BE49-F238E27FC236}">
              <a16:creationId xmlns:a16="http://schemas.microsoft.com/office/drawing/2014/main" id="{2CC423DE-3ADC-4EE0-8EA3-F7AFB80E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8097500"/>
          <a:ext cx="35052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93</xdr:row>
      <xdr:rowOff>66675</xdr:rowOff>
    </xdr:from>
    <xdr:to>
      <xdr:col>6</xdr:col>
      <xdr:colOff>561975</xdr:colOff>
      <xdr:row>105</xdr:row>
      <xdr:rowOff>95250</xdr:rowOff>
    </xdr:to>
    <xdr:pic>
      <xdr:nvPicPr>
        <xdr:cNvPr id="28968" name="Obrázek 3">
          <a:extLst>
            <a:ext uri="{FF2B5EF4-FFF2-40B4-BE49-F238E27FC236}">
              <a16:creationId xmlns:a16="http://schemas.microsoft.com/office/drawing/2014/main" id="{D6FDF68F-5AA1-42BC-A14E-4B89E4A51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8078450"/>
          <a:ext cx="3419475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47625</xdr:rowOff>
    </xdr:from>
    <xdr:to>
      <xdr:col>8</xdr:col>
      <xdr:colOff>0</xdr:colOff>
      <xdr:row>1</xdr:row>
      <xdr:rowOff>123825</xdr:rowOff>
    </xdr:to>
    <xdr:pic>
      <xdr:nvPicPr>
        <xdr:cNvPr id="29965" name="Obrázek 2">
          <a:extLst>
            <a:ext uri="{FF2B5EF4-FFF2-40B4-BE49-F238E27FC236}">
              <a16:creationId xmlns:a16="http://schemas.microsoft.com/office/drawing/2014/main" id="{772EA450-31F9-40B9-BD6C-760B7699D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47625"/>
          <a:ext cx="1076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66675</xdr:colOff>
      <xdr:row>10</xdr:row>
      <xdr:rowOff>133350</xdr:rowOff>
    </xdr:from>
    <xdr:to>
      <xdr:col>21</xdr:col>
      <xdr:colOff>219075</xdr:colOff>
      <xdr:row>17</xdr:row>
      <xdr:rowOff>95250</xdr:rowOff>
    </xdr:to>
    <xdr:pic>
      <xdr:nvPicPr>
        <xdr:cNvPr id="29966" name="Obrázek 11">
          <a:extLst>
            <a:ext uri="{FF2B5EF4-FFF2-40B4-BE49-F238E27FC236}">
              <a16:creationId xmlns:a16="http://schemas.microsoft.com/office/drawing/2014/main" id="{92CB64A8-7559-4E31-B8AF-4341348D1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362200"/>
          <a:ext cx="838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600075</xdr:colOff>
      <xdr:row>12</xdr:row>
      <xdr:rowOff>104775</xdr:rowOff>
    </xdr:from>
    <xdr:to>
      <xdr:col>23</xdr:col>
      <xdr:colOff>685800</xdr:colOff>
      <xdr:row>16</xdr:row>
      <xdr:rowOff>180975</xdr:rowOff>
    </xdr:to>
    <xdr:pic>
      <xdr:nvPicPr>
        <xdr:cNvPr id="29967" name="Obrázek 12">
          <a:extLst>
            <a:ext uri="{FF2B5EF4-FFF2-40B4-BE49-F238E27FC236}">
              <a16:creationId xmlns:a16="http://schemas.microsoft.com/office/drawing/2014/main" id="{2B1DABED-C7AD-4BC7-94CD-F0306CCC2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27146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20</xdr:row>
      <xdr:rowOff>95250</xdr:rowOff>
    </xdr:from>
    <xdr:to>
      <xdr:col>1</xdr:col>
      <xdr:colOff>285750</xdr:colOff>
      <xdr:row>22</xdr:row>
      <xdr:rowOff>0</xdr:rowOff>
    </xdr:to>
    <xdr:pic>
      <xdr:nvPicPr>
        <xdr:cNvPr id="29968" name="Obrázek 20" descr="Notice.gif">
          <a:extLst>
            <a:ext uri="{FF2B5EF4-FFF2-40B4-BE49-F238E27FC236}">
              <a16:creationId xmlns:a16="http://schemas.microsoft.com/office/drawing/2014/main" id="{BEA371C1-A841-4291-BD6F-7FF02CA8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05777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19050</xdr:rowOff>
    </xdr:from>
    <xdr:to>
      <xdr:col>1</xdr:col>
      <xdr:colOff>190500</xdr:colOff>
      <xdr:row>24</xdr:row>
      <xdr:rowOff>0</xdr:rowOff>
    </xdr:to>
    <xdr:pic>
      <xdr:nvPicPr>
        <xdr:cNvPr id="29969" name="Obrázek 28" descr="Info.gif">
          <a:extLst>
            <a:ext uri="{FF2B5EF4-FFF2-40B4-BE49-F238E27FC236}">
              <a16:creationId xmlns:a16="http://schemas.microsoft.com/office/drawing/2014/main" id="{2BA2FEA5-F3F3-43E7-B214-DDDBFD72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5245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0</xdr:row>
      <xdr:rowOff>323850</xdr:rowOff>
    </xdr:from>
    <xdr:to>
      <xdr:col>30</xdr:col>
      <xdr:colOff>28575</xdr:colOff>
      <xdr:row>14</xdr:row>
      <xdr:rowOff>295275</xdr:rowOff>
    </xdr:to>
    <xdr:pic>
      <xdr:nvPicPr>
        <xdr:cNvPr id="29970" name="Obrázek 6">
          <a:extLst>
            <a:ext uri="{FF2B5EF4-FFF2-40B4-BE49-F238E27FC236}">
              <a16:creationId xmlns:a16="http://schemas.microsoft.com/office/drawing/2014/main" id="{E5D0916F-57E1-4AA0-A17A-6235836C1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23850"/>
          <a:ext cx="277177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136</xdr:row>
      <xdr:rowOff>19050</xdr:rowOff>
    </xdr:from>
    <xdr:to>
      <xdr:col>1</xdr:col>
      <xdr:colOff>285750</xdr:colOff>
      <xdr:row>137</xdr:row>
      <xdr:rowOff>0</xdr:rowOff>
    </xdr:to>
    <xdr:pic>
      <xdr:nvPicPr>
        <xdr:cNvPr id="29971" name="Obrázek 28" descr="Info.gif">
          <a:extLst>
            <a:ext uri="{FF2B5EF4-FFF2-40B4-BE49-F238E27FC236}">
              <a16:creationId xmlns:a16="http://schemas.microsoft.com/office/drawing/2014/main" id="{F13ADFC4-6844-4F13-B7B9-5483332DE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793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70</xdr:row>
      <xdr:rowOff>228600</xdr:rowOff>
    </xdr:from>
    <xdr:to>
      <xdr:col>6</xdr:col>
      <xdr:colOff>314325</xdr:colOff>
      <xdr:row>90</xdr:row>
      <xdr:rowOff>104775</xdr:rowOff>
    </xdr:to>
    <xdr:pic>
      <xdr:nvPicPr>
        <xdr:cNvPr id="29972" name="Obrázek 9">
          <a:extLst>
            <a:ext uri="{FF2B5EF4-FFF2-40B4-BE49-F238E27FC236}">
              <a16:creationId xmlns:a16="http://schemas.microsoft.com/office/drawing/2014/main" id="{393F3D73-9BB4-431B-8CF5-0B8EA574E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144625"/>
          <a:ext cx="3000375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92</xdr:row>
      <xdr:rowOff>57150</xdr:rowOff>
    </xdr:from>
    <xdr:to>
      <xdr:col>22</xdr:col>
      <xdr:colOff>161925</xdr:colOff>
      <xdr:row>103</xdr:row>
      <xdr:rowOff>161925</xdr:rowOff>
    </xdr:to>
    <xdr:pic>
      <xdr:nvPicPr>
        <xdr:cNvPr id="29973" name="Obrázek 10">
          <a:extLst>
            <a:ext uri="{FF2B5EF4-FFF2-40B4-BE49-F238E27FC236}">
              <a16:creationId xmlns:a16="http://schemas.microsoft.com/office/drawing/2014/main" id="{CE4EDA95-72A6-4EDF-B899-234BA2E9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887950"/>
          <a:ext cx="35052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92</xdr:row>
      <xdr:rowOff>28575</xdr:rowOff>
    </xdr:from>
    <xdr:to>
      <xdr:col>6</xdr:col>
      <xdr:colOff>561975</xdr:colOff>
      <xdr:row>104</xdr:row>
      <xdr:rowOff>38100</xdr:rowOff>
    </xdr:to>
    <xdr:pic>
      <xdr:nvPicPr>
        <xdr:cNvPr id="29974" name="Obrázek 11">
          <a:extLst>
            <a:ext uri="{FF2B5EF4-FFF2-40B4-BE49-F238E27FC236}">
              <a16:creationId xmlns:a16="http://schemas.microsoft.com/office/drawing/2014/main" id="{31F55282-4715-4D3E-9BB9-F8A152D6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859375"/>
          <a:ext cx="3419475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</xdr:colOff>
      <xdr:row>10</xdr:row>
      <xdr:rowOff>142875</xdr:rowOff>
    </xdr:from>
    <xdr:to>
      <xdr:col>21</xdr:col>
      <xdr:colOff>209550</xdr:colOff>
      <xdr:row>17</xdr:row>
      <xdr:rowOff>104775</xdr:rowOff>
    </xdr:to>
    <xdr:pic>
      <xdr:nvPicPr>
        <xdr:cNvPr id="25246" name="Obrázek 11">
          <a:extLst>
            <a:ext uri="{FF2B5EF4-FFF2-40B4-BE49-F238E27FC236}">
              <a16:creationId xmlns:a16="http://schemas.microsoft.com/office/drawing/2014/main" id="{A5550FB5-D5F5-4F12-95BD-E06C418B3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371725"/>
          <a:ext cx="8382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600075</xdr:colOff>
      <xdr:row>12</xdr:row>
      <xdr:rowOff>95250</xdr:rowOff>
    </xdr:from>
    <xdr:to>
      <xdr:col>23</xdr:col>
      <xdr:colOff>685800</xdr:colOff>
      <xdr:row>16</xdr:row>
      <xdr:rowOff>171450</xdr:rowOff>
    </xdr:to>
    <xdr:pic>
      <xdr:nvPicPr>
        <xdr:cNvPr id="25247" name="Obrázek 12">
          <a:extLst>
            <a:ext uri="{FF2B5EF4-FFF2-40B4-BE49-F238E27FC236}">
              <a16:creationId xmlns:a16="http://schemas.microsoft.com/office/drawing/2014/main" id="{31BC98B4-B08B-4824-8F1B-EA1EF8CBC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2705100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0</xdr:row>
      <xdr:rowOff>38100</xdr:rowOff>
    </xdr:from>
    <xdr:to>
      <xdr:col>5</xdr:col>
      <xdr:colOff>19050</xdr:colOff>
      <xdr:row>1</xdr:row>
      <xdr:rowOff>123825</xdr:rowOff>
    </xdr:to>
    <xdr:pic>
      <xdr:nvPicPr>
        <xdr:cNvPr id="25248" name="Obrázek 3">
          <a:extLst>
            <a:ext uri="{FF2B5EF4-FFF2-40B4-BE49-F238E27FC236}">
              <a16:creationId xmlns:a16="http://schemas.microsoft.com/office/drawing/2014/main" id="{7253D2B1-09FD-4C9A-B8EE-08535F038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38100"/>
          <a:ext cx="1095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38100</xdr:rowOff>
    </xdr:from>
    <xdr:to>
      <xdr:col>6</xdr:col>
      <xdr:colOff>457200</xdr:colOff>
      <xdr:row>1</xdr:row>
      <xdr:rowOff>123825</xdr:rowOff>
    </xdr:to>
    <xdr:pic>
      <xdr:nvPicPr>
        <xdr:cNvPr id="25249" name="Obrázek 4">
          <a:extLst>
            <a:ext uri="{FF2B5EF4-FFF2-40B4-BE49-F238E27FC236}">
              <a16:creationId xmlns:a16="http://schemas.microsoft.com/office/drawing/2014/main" id="{C2DE0D8F-38CE-469F-8B2B-2C5CD711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8100"/>
          <a:ext cx="1085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20</xdr:row>
      <xdr:rowOff>95250</xdr:rowOff>
    </xdr:from>
    <xdr:to>
      <xdr:col>1</xdr:col>
      <xdr:colOff>285750</xdr:colOff>
      <xdr:row>22</xdr:row>
      <xdr:rowOff>0</xdr:rowOff>
    </xdr:to>
    <xdr:pic>
      <xdr:nvPicPr>
        <xdr:cNvPr id="25250" name="Obrázek 20" descr="Notice.gif">
          <a:extLst>
            <a:ext uri="{FF2B5EF4-FFF2-40B4-BE49-F238E27FC236}">
              <a16:creationId xmlns:a16="http://schemas.microsoft.com/office/drawing/2014/main" id="{DFD6FDD3-45A0-42C6-A5F5-466F000AE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05777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23</xdr:row>
      <xdr:rowOff>19050</xdr:rowOff>
    </xdr:from>
    <xdr:to>
      <xdr:col>1</xdr:col>
      <xdr:colOff>180975</xdr:colOff>
      <xdr:row>24</xdr:row>
      <xdr:rowOff>0</xdr:rowOff>
    </xdr:to>
    <xdr:pic>
      <xdr:nvPicPr>
        <xdr:cNvPr id="25251" name="Obrázek 28" descr="Info.gif">
          <a:extLst>
            <a:ext uri="{FF2B5EF4-FFF2-40B4-BE49-F238E27FC236}">
              <a16:creationId xmlns:a16="http://schemas.microsoft.com/office/drawing/2014/main" id="{5F1AF43A-C274-4F2E-B7F2-CF740D9E4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5245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115</xdr:row>
      <xdr:rowOff>114300</xdr:rowOff>
    </xdr:from>
    <xdr:to>
      <xdr:col>21</xdr:col>
      <xdr:colOff>752475</xdr:colOff>
      <xdr:row>130</xdr:row>
      <xdr:rowOff>9525</xdr:rowOff>
    </xdr:to>
    <xdr:pic>
      <xdr:nvPicPr>
        <xdr:cNvPr id="25252" name="Obrázek 8">
          <a:extLst>
            <a:ext uri="{FF2B5EF4-FFF2-40B4-BE49-F238E27FC236}">
              <a16:creationId xmlns:a16="http://schemas.microsoft.com/office/drawing/2014/main" id="{97B3548E-8E74-45E8-9FE1-3B9525223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2155150"/>
          <a:ext cx="755332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135</xdr:row>
      <xdr:rowOff>19050</xdr:rowOff>
    </xdr:from>
    <xdr:to>
      <xdr:col>1</xdr:col>
      <xdr:colOff>285750</xdr:colOff>
      <xdr:row>136</xdr:row>
      <xdr:rowOff>0</xdr:rowOff>
    </xdr:to>
    <xdr:pic>
      <xdr:nvPicPr>
        <xdr:cNvPr id="25253" name="Obrázek 28" descr="Info.gif">
          <a:extLst>
            <a:ext uri="{FF2B5EF4-FFF2-40B4-BE49-F238E27FC236}">
              <a16:creationId xmlns:a16="http://schemas.microsoft.com/office/drawing/2014/main" id="{68F040B8-0F25-442A-83AE-C3AE68307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6794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495300</xdr:colOff>
      <xdr:row>0</xdr:row>
      <xdr:rowOff>38100</xdr:rowOff>
    </xdr:from>
    <xdr:to>
      <xdr:col>8</xdr:col>
      <xdr:colOff>9525</xdr:colOff>
      <xdr:row>1</xdr:row>
      <xdr:rowOff>123825</xdr:rowOff>
    </xdr:to>
    <xdr:pic>
      <xdr:nvPicPr>
        <xdr:cNvPr id="25254" name="Obrázek 11">
          <a:extLst>
            <a:ext uri="{FF2B5EF4-FFF2-40B4-BE49-F238E27FC236}">
              <a16:creationId xmlns:a16="http://schemas.microsoft.com/office/drawing/2014/main" id="{6B15A9BC-7A48-4822-9B7A-85BC400BE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8100"/>
          <a:ext cx="10858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638175</xdr:colOff>
      <xdr:row>0</xdr:row>
      <xdr:rowOff>247650</xdr:rowOff>
    </xdr:from>
    <xdr:to>
      <xdr:col>29</xdr:col>
      <xdr:colOff>666750</xdr:colOff>
      <xdr:row>14</xdr:row>
      <xdr:rowOff>219075</xdr:rowOff>
    </xdr:to>
    <xdr:pic>
      <xdr:nvPicPr>
        <xdr:cNvPr id="25255" name="Obrázek 6">
          <a:extLst>
            <a:ext uri="{FF2B5EF4-FFF2-40B4-BE49-F238E27FC236}">
              <a16:creationId xmlns:a16="http://schemas.microsoft.com/office/drawing/2014/main" id="{E72C4900-C85F-4F2F-8FDA-97880F9A6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47650"/>
          <a:ext cx="277177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70</xdr:row>
      <xdr:rowOff>228600</xdr:rowOff>
    </xdr:from>
    <xdr:to>
      <xdr:col>6</xdr:col>
      <xdr:colOff>314325</xdr:colOff>
      <xdr:row>90</xdr:row>
      <xdr:rowOff>123825</xdr:rowOff>
    </xdr:to>
    <xdr:pic>
      <xdr:nvPicPr>
        <xdr:cNvPr id="25256" name="Obrázek 9">
          <a:extLst>
            <a:ext uri="{FF2B5EF4-FFF2-40B4-BE49-F238E27FC236}">
              <a16:creationId xmlns:a16="http://schemas.microsoft.com/office/drawing/2014/main" id="{49321F6B-B18E-4A88-A935-1EC9941E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163675"/>
          <a:ext cx="3000375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92</xdr:row>
      <xdr:rowOff>133350</xdr:rowOff>
    </xdr:from>
    <xdr:to>
      <xdr:col>22</xdr:col>
      <xdr:colOff>85725</xdr:colOff>
      <xdr:row>103</xdr:row>
      <xdr:rowOff>123825</xdr:rowOff>
    </xdr:to>
    <xdr:pic>
      <xdr:nvPicPr>
        <xdr:cNvPr id="25257" name="Obrázek 1">
          <a:extLst>
            <a:ext uri="{FF2B5EF4-FFF2-40B4-BE49-F238E27FC236}">
              <a16:creationId xmlns:a16="http://schemas.microsoft.com/office/drawing/2014/main" id="{FEFA5716-1BE2-4BA6-8C09-A11BBC879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7964150"/>
          <a:ext cx="33528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92</xdr:row>
      <xdr:rowOff>76200</xdr:rowOff>
    </xdr:from>
    <xdr:to>
      <xdr:col>6</xdr:col>
      <xdr:colOff>571500</xdr:colOff>
      <xdr:row>104</xdr:row>
      <xdr:rowOff>9525</xdr:rowOff>
    </xdr:to>
    <xdr:pic>
      <xdr:nvPicPr>
        <xdr:cNvPr id="25258" name="Obrázek 2">
          <a:extLst>
            <a:ext uri="{FF2B5EF4-FFF2-40B4-BE49-F238E27FC236}">
              <a16:creationId xmlns:a16="http://schemas.microsoft.com/office/drawing/2014/main" id="{A4C0EDD7-12F4-4B3D-BAB7-0F0CB6D86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7907000"/>
          <a:ext cx="3333750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17</xdr:row>
      <xdr:rowOff>95250</xdr:rowOff>
    </xdr:from>
    <xdr:to>
      <xdr:col>1</xdr:col>
      <xdr:colOff>304800</xdr:colOff>
      <xdr:row>19</xdr:row>
      <xdr:rowOff>0</xdr:rowOff>
    </xdr:to>
    <xdr:pic>
      <xdr:nvPicPr>
        <xdr:cNvPr id="21797" name="Obrázek 20" descr="Notice.gif">
          <a:extLst>
            <a:ext uri="{FF2B5EF4-FFF2-40B4-BE49-F238E27FC236}">
              <a16:creationId xmlns:a16="http://schemas.microsoft.com/office/drawing/2014/main" id="{93717F7D-6CBF-47EE-A814-BFC9CE00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27672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542925</xdr:colOff>
      <xdr:row>2</xdr:row>
      <xdr:rowOff>47625</xdr:rowOff>
    </xdr:from>
    <xdr:to>
      <xdr:col>2</xdr:col>
      <xdr:colOff>1781175</xdr:colOff>
      <xdr:row>11</xdr:row>
      <xdr:rowOff>371475</xdr:rowOff>
    </xdr:to>
    <xdr:pic>
      <xdr:nvPicPr>
        <xdr:cNvPr id="21798" name="Obrázek 4">
          <a:extLst>
            <a:ext uri="{FF2B5EF4-FFF2-40B4-BE49-F238E27FC236}">
              <a16:creationId xmlns:a16="http://schemas.microsoft.com/office/drawing/2014/main" id="{CB35FE0B-0982-4A3B-9041-D980336DA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428625"/>
          <a:ext cx="12382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</xdr:row>
      <xdr:rowOff>47625</xdr:rowOff>
    </xdr:from>
    <xdr:to>
      <xdr:col>1</xdr:col>
      <xdr:colOff>1695450</xdr:colOff>
      <xdr:row>11</xdr:row>
      <xdr:rowOff>390525</xdr:rowOff>
    </xdr:to>
    <xdr:pic>
      <xdr:nvPicPr>
        <xdr:cNvPr id="21799" name="Obrázek 1">
          <a:extLst>
            <a:ext uri="{FF2B5EF4-FFF2-40B4-BE49-F238E27FC236}">
              <a16:creationId xmlns:a16="http://schemas.microsoft.com/office/drawing/2014/main" id="{2749E213-B6B3-4284-85B5-D21200E53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28625"/>
          <a:ext cx="12477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2</xdr:row>
      <xdr:rowOff>133350</xdr:rowOff>
    </xdr:from>
    <xdr:to>
      <xdr:col>3</xdr:col>
      <xdr:colOff>1209675</xdr:colOff>
      <xdr:row>4</xdr:row>
      <xdr:rowOff>76200</xdr:rowOff>
    </xdr:to>
    <xdr:pic>
      <xdr:nvPicPr>
        <xdr:cNvPr id="21800" name="Obrázek 4">
          <a:extLst>
            <a:ext uri="{FF2B5EF4-FFF2-40B4-BE49-F238E27FC236}">
              <a16:creationId xmlns:a16="http://schemas.microsoft.com/office/drawing/2014/main" id="{B07F7C4D-13CF-4C6B-8356-8DF232559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14350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28575</xdr:rowOff>
    </xdr:from>
    <xdr:to>
      <xdr:col>10</xdr:col>
      <xdr:colOff>9525</xdr:colOff>
      <xdr:row>1</xdr:row>
      <xdr:rowOff>114300</xdr:rowOff>
    </xdr:to>
    <xdr:pic>
      <xdr:nvPicPr>
        <xdr:cNvPr id="32853" name="Obrázek 3">
          <a:extLst>
            <a:ext uri="{FF2B5EF4-FFF2-40B4-BE49-F238E27FC236}">
              <a16:creationId xmlns:a16="http://schemas.microsoft.com/office/drawing/2014/main" id="{8D912ED8-03AC-4515-8897-F310435CF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28575"/>
          <a:ext cx="1095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25</xdr:row>
      <xdr:rowOff>95250</xdr:rowOff>
    </xdr:from>
    <xdr:to>
      <xdr:col>2</xdr:col>
      <xdr:colOff>285750</xdr:colOff>
      <xdr:row>27</xdr:row>
      <xdr:rowOff>28575</xdr:rowOff>
    </xdr:to>
    <xdr:pic>
      <xdr:nvPicPr>
        <xdr:cNvPr id="32854" name="Obrázek 20" descr="Notice.gif">
          <a:extLst>
            <a:ext uri="{FF2B5EF4-FFF2-40B4-BE49-F238E27FC236}">
              <a16:creationId xmlns:a16="http://schemas.microsoft.com/office/drawing/2014/main" id="{01D57D30-6C39-43B5-AE37-928C0713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9245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28</xdr:row>
      <xdr:rowOff>19050</xdr:rowOff>
    </xdr:from>
    <xdr:to>
      <xdr:col>2</xdr:col>
      <xdr:colOff>190500</xdr:colOff>
      <xdr:row>29</xdr:row>
      <xdr:rowOff>0</xdr:rowOff>
    </xdr:to>
    <xdr:pic>
      <xdr:nvPicPr>
        <xdr:cNvPr id="32855" name="Obrázek 28" descr="Info.gif">
          <a:extLst>
            <a:ext uri="{FF2B5EF4-FFF2-40B4-BE49-F238E27FC236}">
              <a16:creationId xmlns:a16="http://schemas.microsoft.com/office/drawing/2014/main" id="{AD1B33A9-F172-44F6-BE69-E781F3591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3341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102</xdr:row>
      <xdr:rowOff>19050</xdr:rowOff>
    </xdr:from>
    <xdr:to>
      <xdr:col>2</xdr:col>
      <xdr:colOff>285750</xdr:colOff>
      <xdr:row>103</xdr:row>
      <xdr:rowOff>0</xdr:rowOff>
    </xdr:to>
    <xdr:pic>
      <xdr:nvPicPr>
        <xdr:cNvPr id="32856" name="Obrázek 28" descr="Info.gif">
          <a:extLst>
            <a:ext uri="{FF2B5EF4-FFF2-40B4-BE49-F238E27FC236}">
              <a16:creationId xmlns:a16="http://schemas.microsoft.com/office/drawing/2014/main" id="{18D1C7FE-AEE7-466F-94C2-002072D7B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135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67</xdr:row>
      <xdr:rowOff>28575</xdr:rowOff>
    </xdr:from>
    <xdr:to>
      <xdr:col>5</xdr:col>
      <xdr:colOff>190500</xdr:colOff>
      <xdr:row>99</xdr:row>
      <xdr:rowOff>142875</xdr:rowOff>
    </xdr:to>
    <xdr:pic>
      <xdr:nvPicPr>
        <xdr:cNvPr id="32857" name="Obrázek 3">
          <a:extLst>
            <a:ext uri="{FF2B5EF4-FFF2-40B4-BE49-F238E27FC236}">
              <a16:creationId xmlns:a16="http://schemas.microsoft.com/office/drawing/2014/main" id="{37C14FC8-A9B8-418B-853A-DC8F40B25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3449300"/>
          <a:ext cx="1085850" cy="626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67</xdr:row>
      <xdr:rowOff>28575</xdr:rowOff>
    </xdr:from>
    <xdr:to>
      <xdr:col>11</xdr:col>
      <xdr:colOff>1019175</xdr:colOff>
      <xdr:row>99</xdr:row>
      <xdr:rowOff>114300</xdr:rowOff>
    </xdr:to>
    <xdr:pic>
      <xdr:nvPicPr>
        <xdr:cNvPr id="32858" name="Obrázek 4">
          <a:extLst>
            <a:ext uri="{FF2B5EF4-FFF2-40B4-BE49-F238E27FC236}">
              <a16:creationId xmlns:a16="http://schemas.microsoft.com/office/drawing/2014/main" id="{801A5F82-417B-42D2-83B7-A4E68270D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3449300"/>
          <a:ext cx="1762125" cy="623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485775</xdr:colOff>
      <xdr:row>7</xdr:row>
      <xdr:rowOff>142875</xdr:rowOff>
    </xdr:to>
    <xdr:pic>
      <xdr:nvPicPr>
        <xdr:cNvPr id="32859" name="Obrázek 1">
          <a:extLst>
            <a:ext uri="{FF2B5EF4-FFF2-40B4-BE49-F238E27FC236}">
              <a16:creationId xmlns:a16="http://schemas.microsoft.com/office/drawing/2014/main" id="{810B3F9A-84D9-4C6F-8F3D-96B28501F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575"/>
          <a:ext cx="6191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28575</xdr:rowOff>
    </xdr:from>
    <xdr:to>
      <xdr:col>10</xdr:col>
      <xdr:colOff>9525</xdr:colOff>
      <xdr:row>1</xdr:row>
      <xdr:rowOff>114300</xdr:rowOff>
    </xdr:to>
    <xdr:pic>
      <xdr:nvPicPr>
        <xdr:cNvPr id="19148" name="Obrázek 3">
          <a:extLst>
            <a:ext uri="{FF2B5EF4-FFF2-40B4-BE49-F238E27FC236}">
              <a16:creationId xmlns:a16="http://schemas.microsoft.com/office/drawing/2014/main" id="{FE7EACA8-4189-4B2E-9656-E635C4055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28575"/>
          <a:ext cx="1095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25</xdr:row>
      <xdr:rowOff>95250</xdr:rowOff>
    </xdr:from>
    <xdr:to>
      <xdr:col>2</xdr:col>
      <xdr:colOff>285750</xdr:colOff>
      <xdr:row>27</xdr:row>
      <xdr:rowOff>28575</xdr:rowOff>
    </xdr:to>
    <xdr:pic>
      <xdr:nvPicPr>
        <xdr:cNvPr id="19149" name="Obrázek 20" descr="Notice.gif">
          <a:extLst>
            <a:ext uri="{FF2B5EF4-FFF2-40B4-BE49-F238E27FC236}">
              <a16:creationId xmlns:a16="http://schemas.microsoft.com/office/drawing/2014/main" id="{7D8E6986-DBF0-43DC-BADD-BE72530FA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9245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28</xdr:row>
      <xdr:rowOff>19050</xdr:rowOff>
    </xdr:from>
    <xdr:to>
      <xdr:col>2</xdr:col>
      <xdr:colOff>190500</xdr:colOff>
      <xdr:row>29</xdr:row>
      <xdr:rowOff>0</xdr:rowOff>
    </xdr:to>
    <xdr:pic>
      <xdr:nvPicPr>
        <xdr:cNvPr id="19150" name="Obrázek 28" descr="Info.gif">
          <a:extLst>
            <a:ext uri="{FF2B5EF4-FFF2-40B4-BE49-F238E27FC236}">
              <a16:creationId xmlns:a16="http://schemas.microsoft.com/office/drawing/2014/main" id="{1219DF1F-88F1-4D06-AE7A-A06929DB1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3341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102</xdr:row>
      <xdr:rowOff>19050</xdr:rowOff>
    </xdr:from>
    <xdr:to>
      <xdr:col>2</xdr:col>
      <xdr:colOff>285750</xdr:colOff>
      <xdr:row>103</xdr:row>
      <xdr:rowOff>0</xdr:rowOff>
    </xdr:to>
    <xdr:pic>
      <xdr:nvPicPr>
        <xdr:cNvPr id="19151" name="Obrázek 28" descr="Info.gif">
          <a:extLst>
            <a:ext uri="{FF2B5EF4-FFF2-40B4-BE49-F238E27FC236}">
              <a16:creationId xmlns:a16="http://schemas.microsoft.com/office/drawing/2014/main" id="{17BAE2DC-B67C-4E1B-9888-A593F14D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1549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67</xdr:row>
      <xdr:rowOff>28575</xdr:rowOff>
    </xdr:from>
    <xdr:to>
      <xdr:col>5</xdr:col>
      <xdr:colOff>238125</xdr:colOff>
      <xdr:row>99</xdr:row>
      <xdr:rowOff>123825</xdr:rowOff>
    </xdr:to>
    <xdr:pic>
      <xdr:nvPicPr>
        <xdr:cNvPr id="19152" name="Obrázek 5">
          <a:extLst>
            <a:ext uri="{FF2B5EF4-FFF2-40B4-BE49-F238E27FC236}">
              <a16:creationId xmlns:a16="http://schemas.microsoft.com/office/drawing/2014/main" id="{225FA3C0-50EB-4B84-B7B8-8956B5D2E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3449300"/>
          <a:ext cx="1085850" cy="626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666750</xdr:colOff>
      <xdr:row>67</xdr:row>
      <xdr:rowOff>19050</xdr:rowOff>
    </xdr:from>
    <xdr:to>
      <xdr:col>11</xdr:col>
      <xdr:colOff>1000125</xdr:colOff>
      <xdr:row>99</xdr:row>
      <xdr:rowOff>85725</xdr:rowOff>
    </xdr:to>
    <xdr:pic>
      <xdr:nvPicPr>
        <xdr:cNvPr id="19153" name="Obrázek 6">
          <a:extLst>
            <a:ext uri="{FF2B5EF4-FFF2-40B4-BE49-F238E27FC236}">
              <a16:creationId xmlns:a16="http://schemas.microsoft.com/office/drawing/2014/main" id="{ED89BEEC-0209-44F4-B852-C1844B27B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3439775"/>
          <a:ext cx="1762125" cy="623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0</xdr:rowOff>
    </xdr:from>
    <xdr:to>
      <xdr:col>2</xdr:col>
      <xdr:colOff>485775</xdr:colOff>
      <xdr:row>7</xdr:row>
      <xdr:rowOff>161925</xdr:rowOff>
    </xdr:to>
    <xdr:pic>
      <xdr:nvPicPr>
        <xdr:cNvPr id="19154" name="Obrázek 4">
          <a:extLst>
            <a:ext uri="{FF2B5EF4-FFF2-40B4-BE49-F238E27FC236}">
              <a16:creationId xmlns:a16="http://schemas.microsoft.com/office/drawing/2014/main" id="{FE7FB645-3BD3-40E7-81EB-8A68701CC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90575"/>
          <a:ext cx="6381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11</xdr:row>
      <xdr:rowOff>95250</xdr:rowOff>
    </xdr:from>
    <xdr:to>
      <xdr:col>1</xdr:col>
      <xdr:colOff>304800</xdr:colOff>
      <xdr:row>13</xdr:row>
      <xdr:rowOff>0</xdr:rowOff>
    </xdr:to>
    <xdr:pic>
      <xdr:nvPicPr>
        <xdr:cNvPr id="20229" name="Obrázek 20" descr="Notice.gif">
          <a:extLst>
            <a:ext uri="{FF2B5EF4-FFF2-40B4-BE49-F238E27FC236}">
              <a16:creationId xmlns:a16="http://schemas.microsoft.com/office/drawing/2014/main" id="{CF1F1ABE-A031-4F37-833A-AE3B0EDC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2768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3</xdr:row>
      <xdr:rowOff>9525</xdr:rowOff>
    </xdr:from>
    <xdr:to>
      <xdr:col>1</xdr:col>
      <xdr:colOff>1438275</xdr:colOff>
      <xdr:row>3</xdr:row>
      <xdr:rowOff>1381125</xdr:rowOff>
    </xdr:to>
    <xdr:pic>
      <xdr:nvPicPr>
        <xdr:cNvPr id="20230" name="Obrázek 4">
          <a:extLst>
            <a:ext uri="{FF2B5EF4-FFF2-40B4-BE49-F238E27FC236}">
              <a16:creationId xmlns:a16="http://schemas.microsoft.com/office/drawing/2014/main" id="{92478365-AFAE-433A-8A65-A906E2D3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95325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</xdr:row>
      <xdr:rowOff>9525</xdr:rowOff>
    </xdr:from>
    <xdr:to>
      <xdr:col>1</xdr:col>
      <xdr:colOff>1447800</xdr:colOff>
      <xdr:row>6</xdr:row>
      <xdr:rowOff>1381125</xdr:rowOff>
    </xdr:to>
    <xdr:pic>
      <xdr:nvPicPr>
        <xdr:cNvPr id="20231" name="Obrázek 6">
          <a:extLst>
            <a:ext uri="{FF2B5EF4-FFF2-40B4-BE49-F238E27FC236}">
              <a16:creationId xmlns:a16="http://schemas.microsoft.com/office/drawing/2014/main" id="{B417915E-4538-4FDE-98E6-E577C6B4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571750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6</xdr:row>
      <xdr:rowOff>19050</xdr:rowOff>
    </xdr:from>
    <xdr:to>
      <xdr:col>2</xdr:col>
      <xdr:colOff>1447800</xdr:colOff>
      <xdr:row>7</xdr:row>
      <xdr:rowOff>0</xdr:rowOff>
    </xdr:to>
    <xdr:pic>
      <xdr:nvPicPr>
        <xdr:cNvPr id="20232" name="Obrázek 7">
          <a:extLst>
            <a:ext uri="{FF2B5EF4-FFF2-40B4-BE49-F238E27FC236}">
              <a16:creationId xmlns:a16="http://schemas.microsoft.com/office/drawing/2014/main" id="{44C0B2EF-3AD6-4ADD-8A64-84650A2CF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581275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3</xdr:row>
      <xdr:rowOff>9525</xdr:rowOff>
    </xdr:from>
    <xdr:to>
      <xdr:col>3</xdr:col>
      <xdr:colOff>1428750</xdr:colOff>
      <xdr:row>3</xdr:row>
      <xdr:rowOff>1381125</xdr:rowOff>
    </xdr:to>
    <xdr:pic>
      <xdr:nvPicPr>
        <xdr:cNvPr id="20233" name="Obrázek 8">
          <a:extLst>
            <a:ext uri="{FF2B5EF4-FFF2-40B4-BE49-F238E27FC236}">
              <a16:creationId xmlns:a16="http://schemas.microsoft.com/office/drawing/2014/main" id="{D1885D12-0EEE-4ED4-96B9-DCC9D55E3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695325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</xdr:row>
      <xdr:rowOff>9525</xdr:rowOff>
    </xdr:from>
    <xdr:to>
      <xdr:col>2</xdr:col>
      <xdr:colOff>1438275</xdr:colOff>
      <xdr:row>3</xdr:row>
      <xdr:rowOff>1381125</xdr:rowOff>
    </xdr:to>
    <xdr:pic>
      <xdr:nvPicPr>
        <xdr:cNvPr id="20234" name="Obrázek 9">
          <a:extLst>
            <a:ext uri="{FF2B5EF4-FFF2-40B4-BE49-F238E27FC236}">
              <a16:creationId xmlns:a16="http://schemas.microsoft.com/office/drawing/2014/main" id="{6461256D-678A-40B9-B5F4-4511CED02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95325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6</xdr:row>
      <xdr:rowOff>19050</xdr:rowOff>
    </xdr:from>
    <xdr:to>
      <xdr:col>3</xdr:col>
      <xdr:colOff>1381125</xdr:colOff>
      <xdr:row>6</xdr:row>
      <xdr:rowOff>1371600</xdr:rowOff>
    </xdr:to>
    <xdr:pic>
      <xdr:nvPicPr>
        <xdr:cNvPr id="20235" name="Obrázek 1">
          <a:extLst>
            <a:ext uri="{FF2B5EF4-FFF2-40B4-BE49-F238E27FC236}">
              <a16:creationId xmlns:a16="http://schemas.microsoft.com/office/drawing/2014/main" id="{8654E7FA-A454-4549-BB8D-570B6F1D2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581275"/>
          <a:ext cx="13525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2</xdr:row>
      <xdr:rowOff>142875</xdr:rowOff>
    </xdr:from>
    <xdr:to>
      <xdr:col>4</xdr:col>
      <xdr:colOff>1447800</xdr:colOff>
      <xdr:row>3</xdr:row>
      <xdr:rowOff>142875</xdr:rowOff>
    </xdr:to>
    <xdr:pic>
      <xdr:nvPicPr>
        <xdr:cNvPr id="20236" name="Obrázek 9">
          <a:extLst>
            <a:ext uri="{FF2B5EF4-FFF2-40B4-BE49-F238E27FC236}">
              <a16:creationId xmlns:a16="http://schemas.microsoft.com/office/drawing/2014/main" id="{47D2C5EC-9F22-457D-8CDE-8D2ECD1A6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23875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104775</xdr:rowOff>
    </xdr:from>
    <xdr:to>
      <xdr:col>2</xdr:col>
      <xdr:colOff>19050</xdr:colOff>
      <xdr:row>20</xdr:row>
      <xdr:rowOff>9525</xdr:rowOff>
    </xdr:to>
    <xdr:pic>
      <xdr:nvPicPr>
        <xdr:cNvPr id="27953" name="Obrázek 20" descr="Notice.gif">
          <a:extLst>
            <a:ext uri="{FF2B5EF4-FFF2-40B4-BE49-F238E27FC236}">
              <a16:creationId xmlns:a16="http://schemas.microsoft.com/office/drawing/2014/main" id="{6B19590A-C16E-4527-BBB3-4D51A97F7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25767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21</xdr:row>
      <xdr:rowOff>0</xdr:rowOff>
    </xdr:from>
    <xdr:to>
      <xdr:col>1</xdr:col>
      <xdr:colOff>219075</xdr:colOff>
      <xdr:row>21</xdr:row>
      <xdr:rowOff>161925</xdr:rowOff>
    </xdr:to>
    <xdr:pic>
      <xdr:nvPicPr>
        <xdr:cNvPr id="27954" name="Obrázek 28" descr="Info.gif">
          <a:extLst>
            <a:ext uri="{FF2B5EF4-FFF2-40B4-BE49-F238E27FC236}">
              <a16:creationId xmlns:a16="http://schemas.microsoft.com/office/drawing/2014/main" id="{3E2E9ABD-AA30-4B26-9478-91A604D48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6958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91</xdr:row>
      <xdr:rowOff>9525</xdr:rowOff>
    </xdr:from>
    <xdr:to>
      <xdr:col>2</xdr:col>
      <xdr:colOff>0</xdr:colOff>
      <xdr:row>91</xdr:row>
      <xdr:rowOff>171450</xdr:rowOff>
    </xdr:to>
    <xdr:pic>
      <xdr:nvPicPr>
        <xdr:cNvPr id="27955" name="Obrázek 28" descr="Info.gif">
          <a:extLst>
            <a:ext uri="{FF2B5EF4-FFF2-40B4-BE49-F238E27FC236}">
              <a16:creationId xmlns:a16="http://schemas.microsoft.com/office/drawing/2014/main" id="{445D3C21-0E02-4E70-B0DE-990D6FCA8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35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47625</xdr:rowOff>
    </xdr:from>
    <xdr:to>
      <xdr:col>23</xdr:col>
      <xdr:colOff>742950</xdr:colOff>
      <xdr:row>22</xdr:row>
      <xdr:rowOff>0</xdr:rowOff>
    </xdr:to>
    <xdr:pic>
      <xdr:nvPicPr>
        <xdr:cNvPr id="27956" name="Obrázek 9">
          <a:extLst>
            <a:ext uri="{FF2B5EF4-FFF2-40B4-BE49-F238E27FC236}">
              <a16:creationId xmlns:a16="http://schemas.microsoft.com/office/drawing/2014/main" id="{6F9D9697-7D0E-4974-8150-DFE29F6FA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352800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0</xdr:row>
      <xdr:rowOff>28575</xdr:rowOff>
    </xdr:from>
    <xdr:to>
      <xdr:col>7</xdr:col>
      <xdr:colOff>657225</xdr:colOff>
      <xdr:row>2</xdr:row>
      <xdr:rowOff>209550</xdr:rowOff>
    </xdr:to>
    <xdr:pic>
      <xdr:nvPicPr>
        <xdr:cNvPr id="27957" name="Obrázek 2">
          <a:extLst>
            <a:ext uri="{FF2B5EF4-FFF2-40B4-BE49-F238E27FC236}">
              <a16:creationId xmlns:a16="http://schemas.microsoft.com/office/drawing/2014/main" id="{89BC47CB-4792-4D95-8CF0-293B2480F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857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66675</xdr:colOff>
      <xdr:row>13</xdr:row>
      <xdr:rowOff>38100</xdr:rowOff>
    </xdr:from>
    <xdr:to>
      <xdr:col>21</xdr:col>
      <xdr:colOff>923925</xdr:colOff>
      <xdr:row>24</xdr:row>
      <xdr:rowOff>9525</xdr:rowOff>
    </xdr:to>
    <xdr:pic>
      <xdr:nvPicPr>
        <xdr:cNvPr id="27958" name="Obrázek 1">
          <a:extLst>
            <a:ext uri="{FF2B5EF4-FFF2-40B4-BE49-F238E27FC236}">
              <a16:creationId xmlns:a16="http://schemas.microsoft.com/office/drawing/2014/main" id="{D240B359-5987-4E9B-BEB2-C5712C680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133725"/>
          <a:ext cx="8572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123825</xdr:colOff>
      <xdr:row>0</xdr:row>
      <xdr:rowOff>180975</xdr:rowOff>
    </xdr:from>
    <xdr:to>
      <xdr:col>25</xdr:col>
      <xdr:colOff>219075</xdr:colOff>
      <xdr:row>12</xdr:row>
      <xdr:rowOff>38100</xdr:rowOff>
    </xdr:to>
    <xdr:pic>
      <xdr:nvPicPr>
        <xdr:cNvPr id="27959" name="Obrázek 1">
          <a:extLst>
            <a:ext uri="{FF2B5EF4-FFF2-40B4-BE49-F238E27FC236}">
              <a16:creationId xmlns:a16="http://schemas.microsoft.com/office/drawing/2014/main" id="{88334A34-E1BD-4B19-AF31-5D5178E9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80975"/>
          <a:ext cx="303847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71</xdr:row>
      <xdr:rowOff>142875</xdr:rowOff>
    </xdr:from>
    <xdr:to>
      <xdr:col>5</xdr:col>
      <xdr:colOff>371475</xdr:colOff>
      <xdr:row>86</xdr:row>
      <xdr:rowOff>57150</xdr:rowOff>
    </xdr:to>
    <xdr:pic>
      <xdr:nvPicPr>
        <xdr:cNvPr id="27960" name="Obrázek 2">
          <a:extLst>
            <a:ext uri="{FF2B5EF4-FFF2-40B4-BE49-F238E27FC236}">
              <a16:creationId xmlns:a16="http://schemas.microsoft.com/office/drawing/2014/main" id="{40C9E474-0E62-4C4A-AA33-65759DA53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3706475"/>
          <a:ext cx="18573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371475</xdr:colOff>
      <xdr:row>70</xdr:row>
      <xdr:rowOff>171450</xdr:rowOff>
    </xdr:from>
    <xdr:to>
      <xdr:col>22</xdr:col>
      <xdr:colOff>104775</xdr:colOff>
      <xdr:row>85</xdr:row>
      <xdr:rowOff>66675</xdr:rowOff>
    </xdr:to>
    <xdr:pic>
      <xdr:nvPicPr>
        <xdr:cNvPr id="27961" name="Obrázek 4">
          <a:extLst>
            <a:ext uri="{FF2B5EF4-FFF2-40B4-BE49-F238E27FC236}">
              <a16:creationId xmlns:a16="http://schemas.microsoft.com/office/drawing/2014/main" id="{41EF2475-6DBB-4738-8DF3-95A3B01B5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3554075"/>
          <a:ext cx="24860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57150</xdr:rowOff>
    </xdr:from>
    <xdr:to>
      <xdr:col>2</xdr:col>
      <xdr:colOff>76200</xdr:colOff>
      <xdr:row>18</xdr:row>
      <xdr:rowOff>142875</xdr:rowOff>
    </xdr:to>
    <xdr:pic>
      <xdr:nvPicPr>
        <xdr:cNvPr id="21293" name="Obrázek 20" descr="Notice.gif">
          <a:extLst>
            <a:ext uri="{FF2B5EF4-FFF2-40B4-BE49-F238E27FC236}">
              <a16:creationId xmlns:a16="http://schemas.microsoft.com/office/drawing/2014/main" id="{E3D194A3-AF51-4940-9BED-5B1FEFB43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7909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19</xdr:row>
      <xdr:rowOff>142875</xdr:rowOff>
    </xdr:from>
    <xdr:to>
      <xdr:col>2</xdr:col>
      <xdr:colOff>0</xdr:colOff>
      <xdr:row>20</xdr:row>
      <xdr:rowOff>123825</xdr:rowOff>
    </xdr:to>
    <xdr:pic>
      <xdr:nvPicPr>
        <xdr:cNvPr id="21294" name="Obrázek 28" descr="Info.gif">
          <a:extLst>
            <a:ext uri="{FF2B5EF4-FFF2-40B4-BE49-F238E27FC236}">
              <a16:creationId xmlns:a16="http://schemas.microsoft.com/office/drawing/2014/main" id="{9FE9BC5C-048F-4871-9B2D-7E23832C0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2386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89</xdr:row>
      <xdr:rowOff>9525</xdr:rowOff>
    </xdr:from>
    <xdr:to>
      <xdr:col>2</xdr:col>
      <xdr:colOff>0</xdr:colOff>
      <xdr:row>89</xdr:row>
      <xdr:rowOff>171450</xdr:rowOff>
    </xdr:to>
    <xdr:pic>
      <xdr:nvPicPr>
        <xdr:cNvPr id="21295" name="Obrázek 28" descr="Info.gif">
          <a:extLst>
            <a:ext uri="{FF2B5EF4-FFF2-40B4-BE49-F238E27FC236}">
              <a16:creationId xmlns:a16="http://schemas.microsoft.com/office/drawing/2014/main" id="{04544EBD-5B19-4234-9F76-302FE0DBE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5163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38100</xdr:rowOff>
    </xdr:from>
    <xdr:to>
      <xdr:col>23</xdr:col>
      <xdr:colOff>742950</xdr:colOff>
      <xdr:row>22</xdr:row>
      <xdr:rowOff>95250</xdr:rowOff>
    </xdr:to>
    <xdr:pic>
      <xdr:nvPicPr>
        <xdr:cNvPr id="21296" name="Obrázek 9">
          <a:extLst>
            <a:ext uri="{FF2B5EF4-FFF2-40B4-BE49-F238E27FC236}">
              <a16:creationId xmlns:a16="http://schemas.microsoft.com/office/drawing/2014/main" id="{435D66AC-D3AF-4F4E-9E46-48460DC0D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32099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12</xdr:row>
      <xdr:rowOff>180975</xdr:rowOff>
    </xdr:from>
    <xdr:to>
      <xdr:col>21</xdr:col>
      <xdr:colOff>914400</xdr:colOff>
      <xdr:row>23</xdr:row>
      <xdr:rowOff>152400</xdr:rowOff>
    </xdr:to>
    <xdr:pic>
      <xdr:nvPicPr>
        <xdr:cNvPr id="21297" name="Obrázek 1">
          <a:extLst>
            <a:ext uri="{FF2B5EF4-FFF2-40B4-BE49-F238E27FC236}">
              <a16:creationId xmlns:a16="http://schemas.microsoft.com/office/drawing/2014/main" id="{FCF7E7B6-D412-4B13-9BFC-B400DF136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2857500"/>
          <a:ext cx="8572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361950</xdr:colOff>
      <xdr:row>1</xdr:row>
      <xdr:rowOff>190500</xdr:rowOff>
    </xdr:from>
    <xdr:to>
      <xdr:col>23</xdr:col>
      <xdr:colOff>666750</xdr:colOff>
      <xdr:row>11</xdr:row>
      <xdr:rowOff>0</xdr:rowOff>
    </xdr:to>
    <xdr:pic>
      <xdr:nvPicPr>
        <xdr:cNvPr id="21298" name="Obrázek 1">
          <a:extLst>
            <a:ext uri="{FF2B5EF4-FFF2-40B4-BE49-F238E27FC236}">
              <a16:creationId xmlns:a16="http://schemas.microsoft.com/office/drawing/2014/main" id="{32AFF0DA-DFA7-4494-A0E4-510E84BF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514350"/>
          <a:ext cx="239077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304800</xdr:colOff>
      <xdr:row>68</xdr:row>
      <xdr:rowOff>104775</xdr:rowOff>
    </xdr:from>
    <xdr:to>
      <xdr:col>22</xdr:col>
      <xdr:colOff>133350</xdr:colOff>
      <xdr:row>80</xdr:row>
      <xdr:rowOff>152400</xdr:rowOff>
    </xdr:to>
    <xdr:pic>
      <xdr:nvPicPr>
        <xdr:cNvPr id="21299" name="Obrázek 2">
          <a:extLst>
            <a:ext uri="{FF2B5EF4-FFF2-40B4-BE49-F238E27FC236}">
              <a16:creationId xmlns:a16="http://schemas.microsoft.com/office/drawing/2014/main" id="{25BE997A-BA24-47B5-A508-A73218770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2792075"/>
          <a:ext cx="26384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68</xdr:row>
      <xdr:rowOff>133350</xdr:rowOff>
    </xdr:from>
    <xdr:to>
      <xdr:col>5</xdr:col>
      <xdr:colOff>295275</xdr:colOff>
      <xdr:row>82</xdr:row>
      <xdr:rowOff>152400</xdr:rowOff>
    </xdr:to>
    <xdr:pic>
      <xdr:nvPicPr>
        <xdr:cNvPr id="21300" name="Obrázek 3">
          <a:extLst>
            <a:ext uri="{FF2B5EF4-FFF2-40B4-BE49-F238E27FC236}">
              <a16:creationId xmlns:a16="http://schemas.microsoft.com/office/drawing/2014/main" id="{09629AC1-5A97-4134-8715-DE8CFC406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2820650"/>
          <a:ext cx="18573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666750</xdr:colOff>
      <xdr:row>0</xdr:row>
      <xdr:rowOff>57150</xdr:rowOff>
    </xdr:from>
    <xdr:to>
      <xdr:col>8</xdr:col>
      <xdr:colOff>0</xdr:colOff>
      <xdr:row>2</xdr:row>
      <xdr:rowOff>209550</xdr:rowOff>
    </xdr:to>
    <xdr:pic>
      <xdr:nvPicPr>
        <xdr:cNvPr id="21301" name="Obrázek 9">
          <a:extLst>
            <a:ext uri="{FF2B5EF4-FFF2-40B4-BE49-F238E27FC236}">
              <a16:creationId xmlns:a16="http://schemas.microsoft.com/office/drawing/2014/main" id="{1EFEBB7C-B62D-4980-9FBC-ED23FCE10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5715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57150</xdr:rowOff>
    </xdr:from>
    <xdr:to>
      <xdr:col>2</xdr:col>
      <xdr:colOff>76200</xdr:colOff>
      <xdr:row>18</xdr:row>
      <xdr:rowOff>142875</xdr:rowOff>
    </xdr:to>
    <xdr:pic>
      <xdr:nvPicPr>
        <xdr:cNvPr id="26172" name="Obrázek 20" descr="Notice.gif">
          <a:extLst>
            <a:ext uri="{FF2B5EF4-FFF2-40B4-BE49-F238E27FC236}">
              <a16:creationId xmlns:a16="http://schemas.microsoft.com/office/drawing/2014/main" id="{35E5A7BB-2AF2-482A-8AD4-58A7CF43B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7667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19</xdr:row>
      <xdr:rowOff>142875</xdr:rowOff>
    </xdr:from>
    <xdr:to>
      <xdr:col>2</xdr:col>
      <xdr:colOff>0</xdr:colOff>
      <xdr:row>20</xdr:row>
      <xdr:rowOff>123825</xdr:rowOff>
    </xdr:to>
    <xdr:pic>
      <xdr:nvPicPr>
        <xdr:cNvPr id="26173" name="Obrázek 28" descr="Info.gif">
          <a:extLst>
            <a:ext uri="{FF2B5EF4-FFF2-40B4-BE49-F238E27FC236}">
              <a16:creationId xmlns:a16="http://schemas.microsoft.com/office/drawing/2014/main" id="{311A6E83-49B5-4645-8AF0-C3B5EADB5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3243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88</xdr:row>
      <xdr:rowOff>19050</xdr:rowOff>
    </xdr:from>
    <xdr:to>
      <xdr:col>2</xdr:col>
      <xdr:colOff>0</xdr:colOff>
      <xdr:row>89</xdr:row>
      <xdr:rowOff>0</xdr:rowOff>
    </xdr:to>
    <xdr:pic>
      <xdr:nvPicPr>
        <xdr:cNvPr id="26174" name="Obrázek 28" descr="Info.gif">
          <a:extLst>
            <a:ext uri="{FF2B5EF4-FFF2-40B4-BE49-F238E27FC236}">
              <a16:creationId xmlns:a16="http://schemas.microsoft.com/office/drawing/2014/main" id="{3C8AD18A-ED61-488D-8438-C8E9E1644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4211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38100</xdr:rowOff>
    </xdr:from>
    <xdr:to>
      <xdr:col>23</xdr:col>
      <xdr:colOff>742950</xdr:colOff>
      <xdr:row>22</xdr:row>
      <xdr:rowOff>9525</xdr:rowOff>
    </xdr:to>
    <xdr:pic>
      <xdr:nvPicPr>
        <xdr:cNvPr id="26175" name="Obrázek 6">
          <a:extLst>
            <a:ext uri="{FF2B5EF4-FFF2-40B4-BE49-F238E27FC236}">
              <a16:creationId xmlns:a16="http://schemas.microsoft.com/office/drawing/2014/main" id="{30090F56-0A21-4F62-A471-16674E738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2099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76200</xdr:colOff>
      <xdr:row>13</xdr:row>
      <xdr:rowOff>76200</xdr:rowOff>
    </xdr:from>
    <xdr:to>
      <xdr:col>21</xdr:col>
      <xdr:colOff>933450</xdr:colOff>
      <xdr:row>23</xdr:row>
      <xdr:rowOff>171450</xdr:rowOff>
    </xdr:to>
    <xdr:pic>
      <xdr:nvPicPr>
        <xdr:cNvPr id="26176" name="Obrázek 1">
          <a:extLst>
            <a:ext uri="{FF2B5EF4-FFF2-40B4-BE49-F238E27FC236}">
              <a16:creationId xmlns:a16="http://schemas.microsoft.com/office/drawing/2014/main" id="{DC2E597B-A2EE-4718-8322-F722BAD97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962275"/>
          <a:ext cx="8572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409575</xdr:colOff>
      <xdr:row>2</xdr:row>
      <xdr:rowOff>190500</xdr:rowOff>
    </xdr:from>
    <xdr:to>
      <xdr:col>23</xdr:col>
      <xdr:colOff>714375</xdr:colOff>
      <xdr:row>12</xdr:row>
      <xdr:rowOff>19050</xdr:rowOff>
    </xdr:to>
    <xdr:pic>
      <xdr:nvPicPr>
        <xdr:cNvPr id="26177" name="Obrázek 9">
          <a:extLst>
            <a:ext uri="{FF2B5EF4-FFF2-40B4-BE49-F238E27FC236}">
              <a16:creationId xmlns:a16="http://schemas.microsoft.com/office/drawing/2014/main" id="{DEEFFA42-2B1F-4E6E-81B5-0E55526BD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742950"/>
          <a:ext cx="239077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68</xdr:row>
      <xdr:rowOff>38100</xdr:rowOff>
    </xdr:from>
    <xdr:to>
      <xdr:col>22</xdr:col>
      <xdr:colOff>133350</xdr:colOff>
      <xdr:row>80</xdr:row>
      <xdr:rowOff>57150</xdr:rowOff>
    </xdr:to>
    <xdr:pic>
      <xdr:nvPicPr>
        <xdr:cNvPr id="26178" name="Obrázek 1">
          <a:extLst>
            <a:ext uri="{FF2B5EF4-FFF2-40B4-BE49-F238E27FC236}">
              <a16:creationId xmlns:a16="http://schemas.microsoft.com/office/drawing/2014/main" id="{A32A7FDD-C298-46DC-AD9B-29B521FD3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858750"/>
          <a:ext cx="26384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68</xdr:row>
      <xdr:rowOff>152400</xdr:rowOff>
    </xdr:from>
    <xdr:to>
      <xdr:col>5</xdr:col>
      <xdr:colOff>323850</xdr:colOff>
      <xdr:row>83</xdr:row>
      <xdr:rowOff>47625</xdr:rowOff>
    </xdr:to>
    <xdr:pic>
      <xdr:nvPicPr>
        <xdr:cNvPr id="26179" name="Obrázek 2">
          <a:extLst>
            <a:ext uri="{FF2B5EF4-FFF2-40B4-BE49-F238E27FC236}">
              <a16:creationId xmlns:a16="http://schemas.microsoft.com/office/drawing/2014/main" id="{83610FFA-D8D6-4256-953A-7C08AB906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973050"/>
          <a:ext cx="185737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85725</xdr:rowOff>
    </xdr:from>
    <xdr:to>
      <xdr:col>8</xdr:col>
      <xdr:colOff>0</xdr:colOff>
      <xdr:row>2</xdr:row>
      <xdr:rowOff>200025</xdr:rowOff>
    </xdr:to>
    <xdr:pic>
      <xdr:nvPicPr>
        <xdr:cNvPr id="26180" name="Obrázek 8">
          <a:extLst>
            <a:ext uri="{FF2B5EF4-FFF2-40B4-BE49-F238E27FC236}">
              <a16:creationId xmlns:a16="http://schemas.microsoft.com/office/drawing/2014/main" id="{20FDC4AC-C415-4EB4-A4E5-F1BD4894C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85725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57150</xdr:rowOff>
    </xdr:from>
    <xdr:to>
      <xdr:col>2</xdr:col>
      <xdr:colOff>76200</xdr:colOff>
      <xdr:row>18</xdr:row>
      <xdr:rowOff>142875</xdr:rowOff>
    </xdr:to>
    <xdr:pic>
      <xdr:nvPicPr>
        <xdr:cNvPr id="23148" name="Obrázek 20" descr="Notice.gif">
          <a:extLst>
            <a:ext uri="{FF2B5EF4-FFF2-40B4-BE49-F238E27FC236}">
              <a16:creationId xmlns:a16="http://schemas.microsoft.com/office/drawing/2014/main" id="{7B36B5EA-E9D6-4B46-9127-D831B93D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7909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19</xdr:row>
      <xdr:rowOff>142875</xdr:rowOff>
    </xdr:from>
    <xdr:to>
      <xdr:col>2</xdr:col>
      <xdr:colOff>0</xdr:colOff>
      <xdr:row>20</xdr:row>
      <xdr:rowOff>123825</xdr:rowOff>
    </xdr:to>
    <xdr:pic>
      <xdr:nvPicPr>
        <xdr:cNvPr id="23149" name="Obrázek 28" descr="Info.gif">
          <a:extLst>
            <a:ext uri="{FF2B5EF4-FFF2-40B4-BE49-F238E27FC236}">
              <a16:creationId xmlns:a16="http://schemas.microsoft.com/office/drawing/2014/main" id="{3EC7BB2F-B83F-4CB8-AB74-60273B9B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2386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87</xdr:row>
      <xdr:rowOff>19050</xdr:rowOff>
    </xdr:from>
    <xdr:to>
      <xdr:col>2</xdr:col>
      <xdr:colOff>0</xdr:colOff>
      <xdr:row>88</xdr:row>
      <xdr:rowOff>0</xdr:rowOff>
    </xdr:to>
    <xdr:pic>
      <xdr:nvPicPr>
        <xdr:cNvPr id="23150" name="Obrázek 28" descr="Info.gif">
          <a:extLst>
            <a:ext uri="{FF2B5EF4-FFF2-40B4-BE49-F238E27FC236}">
              <a16:creationId xmlns:a16="http://schemas.microsoft.com/office/drawing/2014/main" id="{B4AC19F2-666B-442E-89F5-24BC8CBDA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639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38100</xdr:rowOff>
    </xdr:from>
    <xdr:to>
      <xdr:col>23</xdr:col>
      <xdr:colOff>742950</xdr:colOff>
      <xdr:row>22</xdr:row>
      <xdr:rowOff>95250</xdr:rowOff>
    </xdr:to>
    <xdr:pic>
      <xdr:nvPicPr>
        <xdr:cNvPr id="23151" name="Obrázek 6">
          <a:extLst>
            <a:ext uri="{FF2B5EF4-FFF2-40B4-BE49-F238E27FC236}">
              <a16:creationId xmlns:a16="http://schemas.microsoft.com/office/drawing/2014/main" id="{7A197635-71CD-4BC0-B57F-A94239391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2099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76200</xdr:colOff>
      <xdr:row>13</xdr:row>
      <xdr:rowOff>47625</xdr:rowOff>
    </xdr:from>
    <xdr:to>
      <xdr:col>21</xdr:col>
      <xdr:colOff>933450</xdr:colOff>
      <xdr:row>24</xdr:row>
      <xdr:rowOff>47625</xdr:rowOff>
    </xdr:to>
    <xdr:pic>
      <xdr:nvPicPr>
        <xdr:cNvPr id="23152" name="Obrázek 1">
          <a:extLst>
            <a:ext uri="{FF2B5EF4-FFF2-40B4-BE49-F238E27FC236}">
              <a16:creationId xmlns:a16="http://schemas.microsoft.com/office/drawing/2014/main" id="{4F07F3A7-79E5-4274-AEF8-3D4EC31B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933700"/>
          <a:ext cx="8572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161925</xdr:colOff>
      <xdr:row>1</xdr:row>
      <xdr:rowOff>76200</xdr:rowOff>
    </xdr:from>
    <xdr:to>
      <xdr:col>23</xdr:col>
      <xdr:colOff>438150</xdr:colOff>
      <xdr:row>10</xdr:row>
      <xdr:rowOff>95250</xdr:rowOff>
    </xdr:to>
    <xdr:pic>
      <xdr:nvPicPr>
        <xdr:cNvPr id="23153" name="Obrázek 1">
          <a:extLst>
            <a:ext uri="{FF2B5EF4-FFF2-40B4-BE49-F238E27FC236}">
              <a16:creationId xmlns:a16="http://schemas.microsoft.com/office/drawing/2014/main" id="{DF59F620-7E98-4078-BEFF-FB5D51C4F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400050"/>
          <a:ext cx="236220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67</xdr:row>
      <xdr:rowOff>152400</xdr:rowOff>
    </xdr:from>
    <xdr:to>
      <xdr:col>22</xdr:col>
      <xdr:colOff>57150</xdr:colOff>
      <xdr:row>80</xdr:row>
      <xdr:rowOff>19050</xdr:rowOff>
    </xdr:to>
    <xdr:pic>
      <xdr:nvPicPr>
        <xdr:cNvPr id="23154" name="Obrázek 2">
          <a:extLst>
            <a:ext uri="{FF2B5EF4-FFF2-40B4-BE49-F238E27FC236}">
              <a16:creationId xmlns:a16="http://schemas.microsoft.com/office/drawing/2014/main" id="{3224017D-91A2-4D6F-890B-1BAD7DB7C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2658725"/>
          <a:ext cx="26289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68</xdr:row>
      <xdr:rowOff>171450</xdr:rowOff>
    </xdr:from>
    <xdr:to>
      <xdr:col>5</xdr:col>
      <xdr:colOff>390525</xdr:colOff>
      <xdr:row>81</xdr:row>
      <xdr:rowOff>104775</xdr:rowOff>
    </xdr:to>
    <xdr:pic>
      <xdr:nvPicPr>
        <xdr:cNvPr id="23155" name="Obrázek 3">
          <a:extLst>
            <a:ext uri="{FF2B5EF4-FFF2-40B4-BE49-F238E27FC236}">
              <a16:creationId xmlns:a16="http://schemas.microsoft.com/office/drawing/2014/main" id="{1F342DBA-95EA-4FE8-92D6-D17D9659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858750"/>
          <a:ext cx="2009775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66675</xdr:rowOff>
    </xdr:from>
    <xdr:to>
      <xdr:col>8</xdr:col>
      <xdr:colOff>0</xdr:colOff>
      <xdr:row>2</xdr:row>
      <xdr:rowOff>200025</xdr:rowOff>
    </xdr:to>
    <xdr:pic>
      <xdr:nvPicPr>
        <xdr:cNvPr id="23156" name="Obrázek 6">
          <a:extLst>
            <a:ext uri="{FF2B5EF4-FFF2-40B4-BE49-F238E27FC236}">
              <a16:creationId xmlns:a16="http://schemas.microsoft.com/office/drawing/2014/main" id="{C97F3A74-A680-4186-9813-9532CD52C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6675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57150</xdr:rowOff>
    </xdr:from>
    <xdr:to>
      <xdr:col>2</xdr:col>
      <xdr:colOff>76200</xdr:colOff>
      <xdr:row>18</xdr:row>
      <xdr:rowOff>142875</xdr:rowOff>
    </xdr:to>
    <xdr:pic>
      <xdr:nvPicPr>
        <xdr:cNvPr id="24178" name="Obrázek 20" descr="Notice.gif">
          <a:extLst>
            <a:ext uri="{FF2B5EF4-FFF2-40B4-BE49-F238E27FC236}">
              <a16:creationId xmlns:a16="http://schemas.microsoft.com/office/drawing/2014/main" id="{6445545D-D92E-4F50-967D-2BF881B2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7909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19</xdr:row>
      <xdr:rowOff>142875</xdr:rowOff>
    </xdr:from>
    <xdr:to>
      <xdr:col>2</xdr:col>
      <xdr:colOff>0</xdr:colOff>
      <xdr:row>20</xdr:row>
      <xdr:rowOff>123825</xdr:rowOff>
    </xdr:to>
    <xdr:pic>
      <xdr:nvPicPr>
        <xdr:cNvPr id="24179" name="Obrázek 28" descr="Info.gif">
          <a:extLst>
            <a:ext uri="{FF2B5EF4-FFF2-40B4-BE49-F238E27FC236}">
              <a16:creationId xmlns:a16="http://schemas.microsoft.com/office/drawing/2014/main" id="{E63CAD34-0FB5-437C-8A66-8A9500487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2386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87</xdr:row>
      <xdr:rowOff>19050</xdr:rowOff>
    </xdr:from>
    <xdr:to>
      <xdr:col>1</xdr:col>
      <xdr:colOff>228600</xdr:colOff>
      <xdr:row>88</xdr:row>
      <xdr:rowOff>0</xdr:rowOff>
    </xdr:to>
    <xdr:pic>
      <xdr:nvPicPr>
        <xdr:cNvPr id="24180" name="Obrázek 28" descr="Info.gif">
          <a:extLst>
            <a:ext uri="{FF2B5EF4-FFF2-40B4-BE49-F238E27FC236}">
              <a16:creationId xmlns:a16="http://schemas.microsoft.com/office/drawing/2014/main" id="{C3D21B5C-7E5A-4A76-8B18-ABDDB1262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639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38100</xdr:rowOff>
    </xdr:from>
    <xdr:to>
      <xdr:col>23</xdr:col>
      <xdr:colOff>742950</xdr:colOff>
      <xdr:row>22</xdr:row>
      <xdr:rowOff>95250</xdr:rowOff>
    </xdr:to>
    <xdr:pic>
      <xdr:nvPicPr>
        <xdr:cNvPr id="24181" name="Obrázek 6">
          <a:extLst>
            <a:ext uri="{FF2B5EF4-FFF2-40B4-BE49-F238E27FC236}">
              <a16:creationId xmlns:a16="http://schemas.microsoft.com/office/drawing/2014/main" id="{FDFD9CAD-AFDF-4D6E-A83A-1649AB2E9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2099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95250</xdr:colOff>
      <xdr:row>13</xdr:row>
      <xdr:rowOff>9525</xdr:rowOff>
    </xdr:from>
    <xdr:to>
      <xdr:col>21</xdr:col>
      <xdr:colOff>952500</xdr:colOff>
      <xdr:row>24</xdr:row>
      <xdr:rowOff>9525</xdr:rowOff>
    </xdr:to>
    <xdr:pic>
      <xdr:nvPicPr>
        <xdr:cNvPr id="24182" name="Obrázek 1">
          <a:extLst>
            <a:ext uri="{FF2B5EF4-FFF2-40B4-BE49-F238E27FC236}">
              <a16:creationId xmlns:a16="http://schemas.microsoft.com/office/drawing/2014/main" id="{53CECC4D-B096-4F7A-9532-C38D8D17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2895600"/>
          <a:ext cx="8572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104775</xdr:colOff>
      <xdr:row>2</xdr:row>
      <xdr:rowOff>104775</xdr:rowOff>
    </xdr:from>
    <xdr:to>
      <xdr:col>23</xdr:col>
      <xdr:colOff>419100</xdr:colOff>
      <xdr:row>11</xdr:row>
      <xdr:rowOff>152400</xdr:rowOff>
    </xdr:to>
    <xdr:pic>
      <xdr:nvPicPr>
        <xdr:cNvPr id="24183" name="Obrázek 1">
          <a:extLst>
            <a:ext uri="{FF2B5EF4-FFF2-40B4-BE49-F238E27FC236}">
              <a16:creationId xmlns:a16="http://schemas.microsoft.com/office/drawing/2014/main" id="{62D5CFF5-3D34-4852-993A-C227511C0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657225"/>
          <a:ext cx="2400300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0</xdr:row>
      <xdr:rowOff>114300</xdr:rowOff>
    </xdr:from>
    <xdr:to>
      <xdr:col>8</xdr:col>
      <xdr:colOff>0</xdr:colOff>
      <xdr:row>2</xdr:row>
      <xdr:rowOff>200025</xdr:rowOff>
    </xdr:to>
    <xdr:pic>
      <xdr:nvPicPr>
        <xdr:cNvPr id="24184" name="Obrázek 7">
          <a:extLst>
            <a:ext uri="{FF2B5EF4-FFF2-40B4-BE49-F238E27FC236}">
              <a16:creationId xmlns:a16="http://schemas.microsoft.com/office/drawing/2014/main" id="{5910ED42-D6A0-4EAC-9956-5E39244C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143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200025</xdr:colOff>
      <xdr:row>67</xdr:row>
      <xdr:rowOff>171450</xdr:rowOff>
    </xdr:from>
    <xdr:to>
      <xdr:col>22</xdr:col>
      <xdr:colOff>76200</xdr:colOff>
      <xdr:row>80</xdr:row>
      <xdr:rowOff>38100</xdr:rowOff>
    </xdr:to>
    <xdr:pic>
      <xdr:nvPicPr>
        <xdr:cNvPr id="24185" name="Obrázek 2">
          <a:extLst>
            <a:ext uri="{FF2B5EF4-FFF2-40B4-BE49-F238E27FC236}">
              <a16:creationId xmlns:a16="http://schemas.microsoft.com/office/drawing/2014/main" id="{3F926AA4-172D-4A1E-8C96-06A91128D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2677775"/>
          <a:ext cx="26289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68</xdr:row>
      <xdr:rowOff>123825</xdr:rowOff>
    </xdr:from>
    <xdr:to>
      <xdr:col>5</xdr:col>
      <xdr:colOff>342900</xdr:colOff>
      <xdr:row>79</xdr:row>
      <xdr:rowOff>104775</xdr:rowOff>
    </xdr:to>
    <xdr:pic>
      <xdr:nvPicPr>
        <xdr:cNvPr id="24186" name="Obrázek 3">
          <a:extLst>
            <a:ext uri="{FF2B5EF4-FFF2-40B4-BE49-F238E27FC236}">
              <a16:creationId xmlns:a16="http://schemas.microsoft.com/office/drawing/2014/main" id="{4A6F7095-7850-4FF7-9087-7967B8DA2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2811125"/>
          <a:ext cx="192405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17</xdr:row>
      <xdr:rowOff>95250</xdr:rowOff>
    </xdr:from>
    <xdr:to>
      <xdr:col>2</xdr:col>
      <xdr:colOff>76200</xdr:colOff>
      <xdr:row>19</xdr:row>
      <xdr:rowOff>0</xdr:rowOff>
    </xdr:to>
    <xdr:pic>
      <xdr:nvPicPr>
        <xdr:cNvPr id="27031" name="Obrázek 20" descr="Notice.gif">
          <a:extLst>
            <a:ext uri="{FF2B5EF4-FFF2-40B4-BE49-F238E27FC236}">
              <a16:creationId xmlns:a16="http://schemas.microsoft.com/office/drawing/2014/main" id="{0442B03C-CAC3-4466-BA04-D42536093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290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20</xdr:row>
      <xdr:rowOff>47625</xdr:rowOff>
    </xdr:from>
    <xdr:to>
      <xdr:col>2</xdr:col>
      <xdr:colOff>0</xdr:colOff>
      <xdr:row>21</xdr:row>
      <xdr:rowOff>28575</xdr:rowOff>
    </xdr:to>
    <xdr:pic>
      <xdr:nvPicPr>
        <xdr:cNvPr id="27032" name="Obrázek 28" descr="Info.gif">
          <a:extLst>
            <a:ext uri="{FF2B5EF4-FFF2-40B4-BE49-F238E27FC236}">
              <a16:creationId xmlns:a16="http://schemas.microsoft.com/office/drawing/2014/main" id="{76C02CED-1E37-4645-9C5F-57F8F3C40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3243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91</xdr:row>
      <xdr:rowOff>19050</xdr:rowOff>
    </xdr:from>
    <xdr:to>
      <xdr:col>1</xdr:col>
      <xdr:colOff>228600</xdr:colOff>
      <xdr:row>92</xdr:row>
      <xdr:rowOff>0</xdr:rowOff>
    </xdr:to>
    <xdr:pic>
      <xdr:nvPicPr>
        <xdr:cNvPr id="27033" name="Obrázek 28" descr="Info.gif">
          <a:extLst>
            <a:ext uri="{FF2B5EF4-FFF2-40B4-BE49-F238E27FC236}">
              <a16:creationId xmlns:a16="http://schemas.microsoft.com/office/drawing/2014/main" id="{70A1A718-E14C-4744-BE39-817D4C886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9926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657225</xdr:colOff>
      <xdr:row>14</xdr:row>
      <xdr:rowOff>38100</xdr:rowOff>
    </xdr:from>
    <xdr:to>
      <xdr:col>23</xdr:col>
      <xdr:colOff>742950</xdr:colOff>
      <xdr:row>22</xdr:row>
      <xdr:rowOff>38100</xdr:rowOff>
    </xdr:to>
    <xdr:pic>
      <xdr:nvPicPr>
        <xdr:cNvPr id="27034" name="Obrázek 6">
          <a:extLst>
            <a:ext uri="{FF2B5EF4-FFF2-40B4-BE49-F238E27FC236}">
              <a16:creationId xmlns:a16="http://schemas.microsoft.com/office/drawing/2014/main" id="{99CA732C-0F99-4711-9EEC-5A1E0D7D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3209925"/>
          <a:ext cx="7715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638175</xdr:colOff>
      <xdr:row>0</xdr:row>
      <xdr:rowOff>19050</xdr:rowOff>
    </xdr:from>
    <xdr:to>
      <xdr:col>7</xdr:col>
      <xdr:colOff>676275</xdr:colOff>
      <xdr:row>2</xdr:row>
      <xdr:rowOff>190500</xdr:rowOff>
    </xdr:to>
    <xdr:pic>
      <xdr:nvPicPr>
        <xdr:cNvPr id="27035" name="Obrázek 1">
          <a:extLst>
            <a:ext uri="{FF2B5EF4-FFF2-40B4-BE49-F238E27FC236}">
              <a16:creationId xmlns:a16="http://schemas.microsoft.com/office/drawing/2014/main" id="{D5CBEE9E-B990-4203-AA16-90C1EDB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05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342900</xdr:colOff>
      <xdr:row>1</xdr:row>
      <xdr:rowOff>133350</xdr:rowOff>
    </xdr:from>
    <xdr:to>
      <xdr:col>25</xdr:col>
      <xdr:colOff>219075</xdr:colOff>
      <xdr:row>10</xdr:row>
      <xdr:rowOff>152400</xdr:rowOff>
    </xdr:to>
    <xdr:pic>
      <xdr:nvPicPr>
        <xdr:cNvPr id="27036" name="Obrázek 2">
          <a:extLst>
            <a:ext uri="{FF2B5EF4-FFF2-40B4-BE49-F238E27FC236}">
              <a16:creationId xmlns:a16="http://schemas.microsoft.com/office/drawing/2014/main" id="{D7C90363-9C37-49AE-A664-F06F201A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57200"/>
          <a:ext cx="24193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71</xdr:row>
      <xdr:rowOff>104775</xdr:rowOff>
    </xdr:from>
    <xdr:to>
      <xdr:col>22</xdr:col>
      <xdr:colOff>457200</xdr:colOff>
      <xdr:row>83</xdr:row>
      <xdr:rowOff>152400</xdr:rowOff>
    </xdr:to>
    <xdr:pic>
      <xdr:nvPicPr>
        <xdr:cNvPr id="27037" name="Obrázek 3">
          <a:extLst>
            <a:ext uri="{FF2B5EF4-FFF2-40B4-BE49-F238E27FC236}">
              <a16:creationId xmlns:a16="http://schemas.microsoft.com/office/drawing/2014/main" id="{9BA34D8F-5B4A-4C45-B3D4-458F7C776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3439775"/>
          <a:ext cx="26289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72</xdr:row>
      <xdr:rowOff>85725</xdr:rowOff>
    </xdr:from>
    <xdr:to>
      <xdr:col>5</xdr:col>
      <xdr:colOff>447675</xdr:colOff>
      <xdr:row>83</xdr:row>
      <xdr:rowOff>19050</xdr:rowOff>
    </xdr:to>
    <xdr:pic>
      <xdr:nvPicPr>
        <xdr:cNvPr id="27038" name="Obrázek 4">
          <a:extLst>
            <a:ext uri="{FF2B5EF4-FFF2-40B4-BE49-F238E27FC236}">
              <a16:creationId xmlns:a16="http://schemas.microsoft.com/office/drawing/2014/main" id="{2656053E-5F3D-4A80-9A62-7BB55CDC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3601700"/>
          <a:ext cx="18573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19</xdr:row>
      <xdr:rowOff>95250</xdr:rowOff>
    </xdr:from>
    <xdr:to>
      <xdr:col>1</xdr:col>
      <xdr:colOff>304800</xdr:colOff>
      <xdr:row>21</xdr:row>
      <xdr:rowOff>0</xdr:rowOff>
    </xdr:to>
    <xdr:pic>
      <xdr:nvPicPr>
        <xdr:cNvPr id="30853" name="Obrázek 20" descr="Notice.gif">
          <a:extLst>
            <a:ext uri="{FF2B5EF4-FFF2-40B4-BE49-F238E27FC236}">
              <a16:creationId xmlns:a16="http://schemas.microsoft.com/office/drawing/2014/main" id="{07A8D4F6-9A26-4208-97A5-BD83FF7A8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391025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</xdr:row>
      <xdr:rowOff>142875</xdr:rowOff>
    </xdr:from>
    <xdr:to>
      <xdr:col>1</xdr:col>
      <xdr:colOff>1752600</xdr:colOff>
      <xdr:row>10</xdr:row>
      <xdr:rowOff>95250</xdr:rowOff>
    </xdr:to>
    <xdr:pic>
      <xdr:nvPicPr>
        <xdr:cNvPr id="30854" name="Obrázek 1">
          <a:extLst>
            <a:ext uri="{FF2B5EF4-FFF2-40B4-BE49-F238E27FC236}">
              <a16:creationId xmlns:a16="http://schemas.microsoft.com/office/drawing/2014/main" id="{355CF382-1415-4E38-975F-65C66AE55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0485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133350</xdr:rowOff>
    </xdr:from>
    <xdr:to>
      <xdr:col>4</xdr:col>
      <xdr:colOff>9525</xdr:colOff>
      <xdr:row>10</xdr:row>
      <xdr:rowOff>123825</xdr:rowOff>
    </xdr:to>
    <xdr:pic>
      <xdr:nvPicPr>
        <xdr:cNvPr id="30855" name="Obrázek 2">
          <a:extLst>
            <a:ext uri="{FF2B5EF4-FFF2-40B4-BE49-F238E27FC236}">
              <a16:creationId xmlns:a16="http://schemas.microsoft.com/office/drawing/2014/main" id="{CBF54A50-378D-43FA-B9FF-3656D830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695325"/>
          <a:ext cx="16287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</xdr:row>
      <xdr:rowOff>133350</xdr:rowOff>
    </xdr:from>
    <xdr:to>
      <xdr:col>2</xdr:col>
      <xdr:colOff>1733550</xdr:colOff>
      <xdr:row>10</xdr:row>
      <xdr:rowOff>85725</xdr:rowOff>
    </xdr:to>
    <xdr:pic>
      <xdr:nvPicPr>
        <xdr:cNvPr id="30856" name="Obrázek 6">
          <a:extLst>
            <a:ext uri="{FF2B5EF4-FFF2-40B4-BE49-F238E27FC236}">
              <a16:creationId xmlns:a16="http://schemas.microsoft.com/office/drawing/2014/main" id="{5C5A15D2-4884-4DE8-B91F-E68371AE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6953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11</xdr:row>
      <xdr:rowOff>0</xdr:rowOff>
    </xdr:from>
    <xdr:to>
      <xdr:col>1</xdr:col>
      <xdr:colOff>1504950</xdr:colOff>
      <xdr:row>13</xdr:row>
      <xdr:rowOff>47625</xdr:rowOff>
    </xdr:to>
    <xdr:pic>
      <xdr:nvPicPr>
        <xdr:cNvPr id="30857" name="Obrázek 3">
          <a:extLst>
            <a:ext uri="{FF2B5EF4-FFF2-40B4-BE49-F238E27FC236}">
              <a16:creationId xmlns:a16="http://schemas.microsoft.com/office/drawing/2014/main" id="{4B260677-AC35-48A9-8F0F-6F64A542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9775"/>
          <a:ext cx="1095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0</xdr:row>
      <xdr:rowOff>66675</xdr:rowOff>
    </xdr:from>
    <xdr:to>
      <xdr:col>2</xdr:col>
      <xdr:colOff>1724025</xdr:colOff>
      <xdr:row>1</xdr:row>
      <xdr:rowOff>295275</xdr:rowOff>
    </xdr:to>
    <xdr:pic>
      <xdr:nvPicPr>
        <xdr:cNvPr id="30858" name="Obrázek 7">
          <a:extLst>
            <a:ext uri="{FF2B5EF4-FFF2-40B4-BE49-F238E27FC236}">
              <a16:creationId xmlns:a16="http://schemas.microsoft.com/office/drawing/2014/main" id="{717529F4-99E5-4A23-8877-6F7A9246F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66675"/>
          <a:ext cx="1095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11</xdr:row>
      <xdr:rowOff>9525</xdr:rowOff>
    </xdr:from>
    <xdr:to>
      <xdr:col>2</xdr:col>
      <xdr:colOff>1524000</xdr:colOff>
      <xdr:row>13</xdr:row>
      <xdr:rowOff>47625</xdr:rowOff>
    </xdr:to>
    <xdr:pic>
      <xdr:nvPicPr>
        <xdr:cNvPr id="30859" name="Obrázek 2">
          <a:extLst>
            <a:ext uri="{FF2B5EF4-FFF2-40B4-BE49-F238E27FC236}">
              <a16:creationId xmlns:a16="http://schemas.microsoft.com/office/drawing/2014/main" id="{058952BE-BC6B-44A3-A8DF-F8D2F39D8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019300"/>
          <a:ext cx="1076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1"/>
  <sheetViews>
    <sheetView showGridLines="0" showRowColHeaders="0" tabSelected="1" workbookViewId="0" xr3:uid="{AEA406A1-0E4B-5B11-9CD5-51D6E497D94C}">
      <selection activeCell="B4" sqref="B4"/>
    </sheetView>
  </sheetViews>
  <sheetFormatPr defaultRowHeight="14.25"/>
  <cols>
    <col min="1" max="1" width="4.25" customWidth="1"/>
    <col min="2" max="4" width="25" customWidth="1"/>
    <col min="5" max="5" width="4.5" customWidth="1"/>
  </cols>
  <sheetData>
    <row r="1" spans="2:4" ht="6" customHeight="1"/>
    <row r="2" spans="2:4" ht="28.5" customHeight="1">
      <c r="B2" s="86" t="s">
        <v>0</v>
      </c>
    </row>
    <row r="3" spans="2:4" ht="28.5" customHeight="1">
      <c r="B3" s="95" t="s">
        <v>1</v>
      </c>
    </row>
    <row r="4" spans="2:4">
      <c r="B4" s="105" t="s">
        <v>2</v>
      </c>
    </row>
    <row r="15" spans="2:4" ht="27" customHeight="1">
      <c r="B15" s="118" t="s">
        <v>3</v>
      </c>
      <c r="C15" s="118"/>
      <c r="D15" s="118"/>
    </row>
    <row r="16" spans="2:4" ht="24.75" customHeight="1">
      <c r="B16" s="24" t="s">
        <v>4</v>
      </c>
      <c r="C16" s="24" t="s">
        <v>5</v>
      </c>
      <c r="D16" s="24" t="s">
        <v>6</v>
      </c>
    </row>
    <row r="17" spans="2:4">
      <c r="B17" s="23"/>
      <c r="C17" s="23"/>
      <c r="D17" s="23"/>
    </row>
    <row r="19" spans="2:4" ht="44.25" customHeight="1">
      <c r="B19" s="119" t="s">
        <v>7</v>
      </c>
      <c r="C19" s="119"/>
      <c r="D19" s="119"/>
    </row>
    <row r="21" spans="2:4">
      <c r="B21" t="s">
        <v>8</v>
      </c>
    </row>
  </sheetData>
  <sheetProtection password="CF72" sheet="1" objects="1" scenarios="1"/>
  <mergeCells count="2">
    <mergeCell ref="B15:D15"/>
    <mergeCell ref="B19:D19"/>
  </mergeCells>
  <hyperlinks>
    <hyperlink ref="B16" location="AVS!A1" tooltip="Zpracování výklopů AVENTOS" display="AVENTOS" xr:uid="{00000000-0004-0000-0000-000000000000}"/>
    <hyperlink ref="C16" location="BOX!A1" tooltip=" " display="Výsuvy" xr:uid="{00000000-0004-0000-0000-000001000000}"/>
    <hyperlink ref="D16" location="STR!A1" tooltip=" " display="Potravinové skříně" xr:uid="{00000000-0004-0000-0000-000002000000}"/>
  </hyperlinks>
  <pageMargins left="0.51181102362204722" right="0.51181102362204722" top="0.78740157480314965" bottom="0.78740157480314965" header="0.31496062992125984" footer="0.31496062992125984"/>
  <pageSetup paperSize="9" orientation="portrait" verticalDpi="599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53"/>
  <sheetViews>
    <sheetView showGridLines="0" showRowColHeaders="0" zoomScaleNormal="100" workbookViewId="0" xr3:uid="{7BE570AB-09E9-518F-B8F7-3F91B7162CA9}">
      <selection activeCell="U24" sqref="U24"/>
    </sheetView>
  </sheetViews>
  <sheetFormatPr defaultRowHeight="14.25"/>
  <cols>
    <col min="1" max="1" width="1" style="2" customWidth="1"/>
    <col min="2" max="2" width="9" style="2"/>
    <col min="3" max="3" width="9" style="2" customWidth="1"/>
    <col min="4" max="6" width="9" style="2"/>
    <col min="7" max="7" width="11.625" style="2" bestFit="1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17" width="9" style="2" hidden="1" customWidth="1"/>
    <col min="18" max="18" width="18.875" style="2" hidden="1" customWidth="1"/>
    <col min="19" max="19" width="3.25" style="2" hidden="1" customWidth="1"/>
    <col min="20" max="21" width="9" style="2"/>
    <col min="22" max="22" width="13.125" style="2" customWidth="1"/>
    <col min="23" max="23" width="9" style="2" customWidth="1"/>
    <col min="24" max="24" width="10" style="2" customWidth="1"/>
    <col min="25" max="25" width="1.25" style="2" customWidth="1"/>
    <col min="26" max="16384" width="9" style="2"/>
  </cols>
  <sheetData>
    <row r="1" spans="2:24" ht="25.5">
      <c r="B1" s="1" t="s">
        <v>98</v>
      </c>
      <c r="V1" s="127" t="s">
        <v>99</v>
      </c>
      <c r="W1" s="127"/>
    </row>
    <row r="2" spans="2:24" ht="20.25">
      <c r="B2" s="25" t="s">
        <v>100</v>
      </c>
      <c r="V2" s="126" t="s">
        <v>20</v>
      </c>
      <c r="W2" s="126"/>
      <c r="X2" s="93"/>
    </row>
    <row r="3" spans="2:24" ht="16.5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115">
        <f>IF(AND(C6&gt;=2,C4&gt;=14,C5&gt;=14),1,2)</f>
        <v>2</v>
      </c>
      <c r="M3" s="2" t="s">
        <v>23</v>
      </c>
      <c r="V3" s="126" t="s">
        <v>101</v>
      </c>
      <c r="W3" s="126"/>
      <c r="X3" s="93"/>
    </row>
    <row r="4" spans="2:24" ht="16.5" customHeight="1">
      <c r="B4" s="6"/>
      <c r="C4" s="102"/>
      <c r="D4" s="128" t="s">
        <v>26</v>
      </c>
      <c r="E4" s="128"/>
      <c r="F4" s="128"/>
      <c r="G4" s="128"/>
      <c r="H4" s="128"/>
      <c r="J4" s="13" t="str">
        <f>IF(C4&lt;14,"Minimálně 14 mm!"," ")</f>
        <v>Minimálně 14 mm!</v>
      </c>
      <c r="M4" s="2" t="s">
        <v>25</v>
      </c>
      <c r="W4" s="93"/>
      <c r="X4" s="93"/>
    </row>
    <row r="5" spans="2:24" ht="16.5" customHeight="1">
      <c r="B5" s="6"/>
      <c r="C5" s="102"/>
      <c r="D5" s="128" t="s">
        <v>27</v>
      </c>
      <c r="E5" s="128"/>
      <c r="F5" s="128"/>
      <c r="G5" s="128"/>
      <c r="H5" s="128"/>
      <c r="J5" s="13" t="str">
        <f>IF(C5&lt;14,"Minimálně 14 mm!"," ")</f>
        <v>Minimálně 14 mm!</v>
      </c>
      <c r="W5" s="93"/>
      <c r="X5" s="93"/>
    </row>
    <row r="6" spans="2:24" ht="16.5" customHeight="1">
      <c r="B6" s="6"/>
      <c r="C6" s="102"/>
      <c r="D6" s="128" t="s">
        <v>102</v>
      </c>
      <c r="E6" s="128"/>
      <c r="F6" s="128"/>
      <c r="G6" s="128"/>
      <c r="H6" s="128"/>
      <c r="J6" s="13" t="str">
        <f>IF(C6&lt;2,"Minimálně 2 mm!"," ")</f>
        <v>Minimálně 2 mm!</v>
      </c>
      <c r="W6" s="93"/>
      <c r="X6" s="93"/>
    </row>
    <row r="7" spans="2:24" ht="16.5" customHeight="1">
      <c r="B7" s="6"/>
      <c r="C7" s="102"/>
      <c r="D7" s="128" t="s">
        <v>103</v>
      </c>
      <c r="E7" s="128"/>
      <c r="F7" s="128"/>
      <c r="G7" s="128"/>
      <c r="H7" s="128"/>
      <c r="W7" s="93"/>
      <c r="X7" s="93"/>
    </row>
    <row r="8" spans="2:24" ht="16.5" customHeight="1">
      <c r="B8" s="6"/>
      <c r="C8" s="102"/>
      <c r="D8" s="128" t="s">
        <v>104</v>
      </c>
      <c r="E8" s="128"/>
      <c r="F8" s="128"/>
      <c r="G8" s="128"/>
      <c r="H8" s="128"/>
      <c r="W8" s="59"/>
      <c r="X8" s="59"/>
    </row>
    <row r="9" spans="2:24" ht="16.5" customHeight="1">
      <c r="B9" s="6"/>
      <c r="C9" s="15" t="str">
        <f>IF(L3=2, "Vyplňte správně všechny parametry!"," ")</f>
        <v>Vyplňte správně všechny parametry!</v>
      </c>
      <c r="D9" s="5"/>
      <c r="E9" s="5"/>
      <c r="F9" s="5"/>
      <c r="G9" s="5"/>
      <c r="H9" s="5"/>
      <c r="W9" s="26"/>
      <c r="X9" s="26"/>
    </row>
    <row r="10" spans="2:24">
      <c r="L10" s="115"/>
      <c r="M10" s="115"/>
      <c r="N10" s="115"/>
      <c r="O10" s="115"/>
      <c r="P10" s="115"/>
      <c r="Q10" s="115"/>
    </row>
    <row r="11" spans="2:24" ht="15" customHeight="1">
      <c r="B11" s="129" t="s">
        <v>105</v>
      </c>
      <c r="C11" s="129" t="s">
        <v>106</v>
      </c>
      <c r="D11" s="130" t="s">
        <v>33</v>
      </c>
      <c r="E11" s="130"/>
      <c r="F11" s="130"/>
      <c r="G11" s="130" t="s">
        <v>34</v>
      </c>
      <c r="H11" s="130"/>
      <c r="L11" s="14"/>
      <c r="M11" s="14"/>
      <c r="N11" s="14"/>
      <c r="O11" s="14"/>
      <c r="P11" s="14"/>
    </row>
    <row r="12" spans="2:24" ht="15" customHeight="1">
      <c r="B12" s="129"/>
      <c r="C12" s="129"/>
      <c r="D12" s="117" t="s">
        <v>107</v>
      </c>
      <c r="E12" s="117" t="s">
        <v>38</v>
      </c>
      <c r="F12" s="117" t="s">
        <v>39</v>
      </c>
      <c r="G12" s="117" t="s">
        <v>107</v>
      </c>
      <c r="H12" s="117" t="s">
        <v>108</v>
      </c>
      <c r="L12" s="115"/>
      <c r="M12" s="115"/>
      <c r="N12" s="115"/>
      <c r="O12" s="115"/>
      <c r="P12" s="115"/>
      <c r="R12" s="2" t="s">
        <v>109</v>
      </c>
      <c r="W12" s="2" t="s">
        <v>44</v>
      </c>
    </row>
    <row r="13" spans="2:24" ht="28.5" customHeight="1">
      <c r="B13" s="12">
        <v>5</v>
      </c>
      <c r="C13" s="103"/>
      <c r="D13" s="12" t="str">
        <f>IF(OR($C$13=0,$L$3=2)," ",$L$16)</f>
        <v xml:space="preserve"> </v>
      </c>
      <c r="E13" s="12" t="str">
        <f>IF(OR($C$13=0,$L$3=2)," ",$M$16+$C$5-$C$8)</f>
        <v xml:space="preserve"> </v>
      </c>
      <c r="F13" s="12" t="str">
        <f>E13</f>
        <v xml:space="preserve"> </v>
      </c>
      <c r="G13" s="12" t="str">
        <f>IF(OR($C$13=0,$L$3=2)," ",$C$17+$C$16+$C$15+$C$14+$C$7+$C$6*4+$O$16)</f>
        <v xml:space="preserve"> </v>
      </c>
      <c r="H13" s="12" t="str">
        <f>IF(OR($L$3=2,$C$13=0)," ",$P$16)</f>
        <v xml:space="preserve"> </v>
      </c>
      <c r="Q13" s="9" t="str">
        <f>$G$13</f>
        <v xml:space="preserve"> </v>
      </c>
      <c r="R13" s="10" t="s">
        <v>110</v>
      </c>
      <c r="S13" s="131" t="str">
        <f>K11&amp;" "&amp;IF(C13&gt;0,P11,IF(C14&gt;0,O11,IF(C15&gt;0,N11,IF(C16&gt;0,M11,IF(C17&gt;0,L11,0)))))</f>
        <v xml:space="preserve"> 0</v>
      </c>
      <c r="T13" s="9" t="str">
        <f>$G$13</f>
        <v xml:space="preserve"> </v>
      </c>
      <c r="W13" s="115" t="str">
        <f>$E$17</f>
        <v xml:space="preserve"> </v>
      </c>
    </row>
    <row r="14" spans="2:24" ht="28.5" customHeight="1">
      <c r="B14" s="3">
        <v>4</v>
      </c>
      <c r="C14" s="104"/>
      <c r="D14" s="3" t="str">
        <f>IF(OR($C$14=0,$L$3=2)," ",$L$16)</f>
        <v xml:space="preserve"> </v>
      </c>
      <c r="E14" s="3" t="str">
        <f>IF(OR($C$14=0,$L$3=2)," ",$M$16+$C$5-$C$8)</f>
        <v xml:space="preserve"> </v>
      </c>
      <c r="F14" s="3" t="str">
        <f>E14</f>
        <v xml:space="preserve"> </v>
      </c>
      <c r="G14" s="3" t="str">
        <f>IF(OR($C$14=0,$L$3=2)," ",$C$17+$C$16+$C$15+$C$7+$C$6*3+$O$16)</f>
        <v xml:space="preserve"> </v>
      </c>
      <c r="H14" s="3" t="str">
        <f>IF(OR($L$3=2,$C$14=0)," ",$P$16)</f>
        <v xml:space="preserve"> </v>
      </c>
      <c r="Q14" s="9" t="str">
        <f>$G$14</f>
        <v xml:space="preserve"> </v>
      </c>
      <c r="R14" s="8" t="s">
        <v>111</v>
      </c>
      <c r="S14" s="132"/>
      <c r="T14" s="9" t="str">
        <f>$G$14</f>
        <v xml:space="preserve"> </v>
      </c>
    </row>
    <row r="15" spans="2:24" ht="28.5" customHeight="1">
      <c r="B15" s="3">
        <v>3</v>
      </c>
      <c r="C15" s="104"/>
      <c r="D15" s="3" t="str">
        <f>IF(OR($C$15=0,$L$3=2)," ",$L$16)</f>
        <v xml:space="preserve"> </v>
      </c>
      <c r="E15" s="3" t="str">
        <f>IF(OR($C$15=0,$L$3=2)," ",$M$16+$C$5-$C$8)</f>
        <v xml:space="preserve"> </v>
      </c>
      <c r="F15" s="3" t="str">
        <f>E15</f>
        <v xml:space="preserve"> </v>
      </c>
      <c r="G15" s="3" t="str">
        <f>IF(OR($C$15=0,$L$3=2)," ",$C$17+$C$16+$C$7+$C$6*2+$O$16)</f>
        <v xml:space="preserve"> </v>
      </c>
      <c r="H15" s="3" t="str">
        <f>IF(OR($L$3=2,$C$15=0)," ",$P$16)</f>
        <v xml:space="preserve"> </v>
      </c>
      <c r="Q15" s="9" t="str">
        <f>$G$15</f>
        <v xml:space="preserve"> </v>
      </c>
      <c r="R15" s="8" t="s">
        <v>112</v>
      </c>
      <c r="S15" s="132"/>
      <c r="T15" s="9" t="str">
        <f>$G$15</f>
        <v xml:space="preserve"> </v>
      </c>
      <c r="W15" s="16" t="str">
        <f>$E$17</f>
        <v xml:space="preserve"> </v>
      </c>
    </row>
    <row r="16" spans="2:24" ht="28.5" customHeight="1">
      <c r="B16" s="3">
        <v>2</v>
      </c>
      <c r="C16" s="104"/>
      <c r="D16" s="3" t="str">
        <f>IF(OR($C$16=0,$L$3=2)," ",$L$16)</f>
        <v xml:space="preserve"> </v>
      </c>
      <c r="E16" s="3" t="str">
        <f>IF(OR($C$16=0,$L$3=2)," ",$M$16+$C$5-$C$8)</f>
        <v xml:space="preserve"> </v>
      </c>
      <c r="F16" s="3" t="str">
        <f>E16</f>
        <v xml:space="preserve"> </v>
      </c>
      <c r="G16" s="3" t="str">
        <f>IF(OR($C$16=0,$L$3=2)," ",$C$17+$C$7+$C$6+$O$16)</f>
        <v xml:space="preserve"> </v>
      </c>
      <c r="H16" s="3" t="str">
        <f>IF(OR($L$3=2,$C$16=0)," ",$P$16)</f>
        <v xml:space="preserve"> </v>
      </c>
      <c r="K16" s="4" t="s">
        <v>113</v>
      </c>
      <c r="L16" s="4">
        <v>47.5</v>
      </c>
      <c r="M16" s="4">
        <v>15.5</v>
      </c>
      <c r="N16" s="4">
        <v>15.5</v>
      </c>
      <c r="O16" s="4">
        <v>33</v>
      </c>
      <c r="P16" s="4">
        <v>37</v>
      </c>
      <c r="Q16" s="9" t="str">
        <f>$G$16</f>
        <v xml:space="preserve"> </v>
      </c>
      <c r="R16" s="8" t="s">
        <v>114</v>
      </c>
      <c r="S16" s="132"/>
      <c r="T16" s="9" t="str">
        <f>$G$16</f>
        <v xml:space="preserve"> </v>
      </c>
      <c r="W16" s="16" t="str">
        <f>$E$17</f>
        <v xml:space="preserve"> </v>
      </c>
    </row>
    <row r="17" spans="2:24" ht="28.5" customHeight="1">
      <c r="B17" s="3" t="s">
        <v>115</v>
      </c>
      <c r="C17" s="104"/>
      <c r="D17" s="3" t="str">
        <f>IF(OR($C$17=0,$L$3=2)," ",$L$17+$C$4-$C$7)</f>
        <v xml:space="preserve"> </v>
      </c>
      <c r="E17" s="3" t="str">
        <f>IF(OR($C$17=0,$L$3=2)," ",$M$17+$C$5-$C$8)</f>
        <v xml:space="preserve"> </v>
      </c>
      <c r="F17" s="3" t="str">
        <f>E17</f>
        <v xml:space="preserve"> </v>
      </c>
      <c r="G17" s="3" t="str">
        <f>IF(OR($C$17=0,$L$3=2)," ",$O$17+$C$4)</f>
        <v xml:space="preserve"> </v>
      </c>
      <c r="H17" s="3" t="str">
        <f>IF(OR($C$17=0,$L$3=2)," ",$P$17)</f>
        <v xml:space="preserve"> </v>
      </c>
      <c r="K17" s="4" t="s">
        <v>115</v>
      </c>
      <c r="L17" s="4">
        <v>47.5</v>
      </c>
      <c r="M17" s="4">
        <v>15.5</v>
      </c>
      <c r="N17" s="4">
        <v>15.5</v>
      </c>
      <c r="O17" s="4">
        <v>33</v>
      </c>
      <c r="P17" s="4">
        <v>37</v>
      </c>
      <c r="Q17" s="9" t="str">
        <f>$G$17</f>
        <v xml:space="preserve"> </v>
      </c>
      <c r="R17" s="7" t="s">
        <v>116</v>
      </c>
      <c r="S17" s="132"/>
      <c r="T17" s="17" t="str">
        <f>IF(OR($C$17=0,$L$3=2)," ",$O$17+$C$4)</f>
        <v xml:space="preserve"> </v>
      </c>
      <c r="W17" s="9" t="s">
        <v>117</v>
      </c>
      <c r="X17" s="5" t="str">
        <f>$D$16</f>
        <v xml:space="preserve"> </v>
      </c>
    </row>
    <row r="18" spans="2:24">
      <c r="W18" s="9" t="s">
        <v>118</v>
      </c>
      <c r="X18" s="5" t="str">
        <f>$D$17</f>
        <v xml:space="preserve"> </v>
      </c>
    </row>
    <row r="19" spans="2:24">
      <c r="B19" s="2" t="s">
        <v>119</v>
      </c>
    </row>
    <row r="20" spans="2:24">
      <c r="B20" s="2" t="s">
        <v>48</v>
      </c>
      <c r="T20" s="11" t="s">
        <v>120</v>
      </c>
    </row>
    <row r="22" spans="2:24">
      <c r="B22" s="21" t="s">
        <v>121</v>
      </c>
    </row>
    <row r="24" spans="2:24">
      <c r="B24" s="2" t="s">
        <v>122</v>
      </c>
    </row>
    <row r="25" spans="2:24">
      <c r="B25" s="2" t="s">
        <v>123</v>
      </c>
    </row>
    <row r="27" spans="2:24">
      <c r="B27" s="2" t="s">
        <v>124</v>
      </c>
    </row>
    <row r="69" spans="1:6">
      <c r="A69" s="123"/>
    </row>
    <row r="70" spans="1:6" ht="18">
      <c r="A70" s="123"/>
      <c r="B70" s="22" t="s">
        <v>125</v>
      </c>
    </row>
    <row r="71" spans="1:6">
      <c r="A71" s="123"/>
      <c r="F71" s="9" t="s">
        <v>126</v>
      </c>
    </row>
    <row r="72" spans="1:6" ht="6.75" customHeight="1">
      <c r="A72" s="123"/>
    </row>
    <row r="73" spans="1:6">
      <c r="A73" s="123"/>
    </row>
    <row r="74" spans="1:6">
      <c r="A74" s="123"/>
    </row>
    <row r="75" spans="1:6">
      <c r="A75" s="123"/>
      <c r="B75" s="2" t="str">
        <f>G13</f>
        <v xml:space="preserve"> </v>
      </c>
    </row>
    <row r="76" spans="1:6">
      <c r="A76" s="123"/>
    </row>
    <row r="77" spans="1:6" ht="9" customHeight="1">
      <c r="A77" s="123"/>
    </row>
    <row r="78" spans="1:6">
      <c r="A78" s="123"/>
      <c r="B78" s="2" t="str">
        <f>G14</f>
        <v xml:space="preserve"> </v>
      </c>
    </row>
    <row r="79" spans="1:6">
      <c r="A79" s="123"/>
    </row>
    <row r="80" spans="1:6" ht="12" customHeight="1">
      <c r="A80" s="123"/>
    </row>
    <row r="81" spans="1:21">
      <c r="A81" s="123"/>
      <c r="B81" s="2" t="str">
        <f>G15</f>
        <v xml:space="preserve"> </v>
      </c>
    </row>
    <row r="82" spans="1:21">
      <c r="A82" s="123"/>
    </row>
    <row r="83" spans="1:21">
      <c r="A83" s="123"/>
    </row>
    <row r="84" spans="1:21" ht="18" customHeight="1">
      <c r="A84" s="123"/>
      <c r="B84" s="2" t="str">
        <f>G16</f>
        <v xml:space="preserve"> </v>
      </c>
    </row>
    <row r="85" spans="1:21">
      <c r="A85" s="123"/>
    </row>
    <row r="86" spans="1:21">
      <c r="A86" s="123"/>
    </row>
    <row r="87" spans="1:21" ht="6.75" customHeight="1">
      <c r="A87" s="123"/>
    </row>
    <row r="88" spans="1:21">
      <c r="A88" s="123"/>
      <c r="B88" s="2" t="str">
        <f>G17</f>
        <v xml:space="preserve"> </v>
      </c>
    </row>
    <row r="89" spans="1:21">
      <c r="A89" s="123"/>
    </row>
    <row r="90" spans="1:21" ht="16.5" customHeight="1">
      <c r="A90" s="123"/>
      <c r="B90" s="2">
        <v>0</v>
      </c>
    </row>
    <row r="91" spans="1:21">
      <c r="A91" s="123"/>
    </row>
    <row r="92" spans="1:21">
      <c r="A92" s="123"/>
    </row>
    <row r="93" spans="1:21">
      <c r="A93" s="123"/>
      <c r="F93" s="9" t="s">
        <v>127</v>
      </c>
      <c r="U93" s="56" t="s">
        <v>128</v>
      </c>
    </row>
    <row r="94" spans="1:21" ht="7.5" customHeight="1">
      <c r="A94" s="123"/>
    </row>
    <row r="95" spans="1:21">
      <c r="A95" s="123"/>
    </row>
    <row r="96" spans="1:21">
      <c r="A96" s="123"/>
    </row>
    <row r="97" spans="1:25">
      <c r="A97" s="123"/>
    </row>
    <row r="98" spans="1:25">
      <c r="A98" s="123"/>
    </row>
    <row r="99" spans="1:25">
      <c r="A99" s="123"/>
    </row>
    <row r="100" spans="1:25">
      <c r="A100" s="123"/>
    </row>
    <row r="101" spans="1:25">
      <c r="A101" s="123"/>
    </row>
    <row r="102" spans="1:25">
      <c r="A102" s="123"/>
    </row>
    <row r="103" spans="1:25">
      <c r="A103" s="123"/>
      <c r="C103" s="56" t="str">
        <f>D17</f>
        <v xml:space="preserve"> </v>
      </c>
      <c r="H103" s="2" t="str">
        <f>D16</f>
        <v xml:space="preserve"> </v>
      </c>
    </row>
    <row r="104" spans="1:25">
      <c r="A104" s="123"/>
    </row>
    <row r="105" spans="1:25">
      <c r="A105" s="123"/>
    </row>
    <row r="106" spans="1:25">
      <c r="A106" s="123"/>
      <c r="C106" s="2" t="str">
        <f>F17</f>
        <v xml:space="preserve"> </v>
      </c>
      <c r="G106" s="56" t="str">
        <f>E17</f>
        <v xml:space="preserve"> </v>
      </c>
      <c r="J106" s="5" t="str">
        <f>F16</f>
        <v xml:space="preserve"> </v>
      </c>
      <c r="V106" s="114" t="str">
        <f>E16</f>
        <v xml:space="preserve"> </v>
      </c>
    </row>
    <row r="107" spans="1:25">
      <c r="A107" s="123"/>
      <c r="X107" s="125" t="s">
        <v>60</v>
      </c>
      <c r="Y107" s="125"/>
    </row>
    <row r="108" spans="1:25">
      <c r="A108" s="123"/>
      <c r="C108" s="2" t="s">
        <v>129</v>
      </c>
    </row>
    <row r="109" spans="1:25" ht="9" customHeight="1">
      <c r="A109" s="123"/>
    </row>
    <row r="110" spans="1:25">
      <c r="A110" s="123"/>
    </row>
    <row r="111" spans="1:25">
      <c r="A111" s="92"/>
    </row>
    <row r="112" spans="1:25">
      <c r="A112" s="123"/>
    </row>
    <row r="113" spans="1:2" ht="18">
      <c r="A113" s="123"/>
      <c r="B113" s="22" t="s">
        <v>130</v>
      </c>
    </row>
    <row r="114" spans="1:2">
      <c r="A114" s="123"/>
    </row>
    <row r="115" spans="1:2">
      <c r="A115" s="123"/>
    </row>
    <row r="116" spans="1:2">
      <c r="A116" s="123"/>
    </row>
    <row r="117" spans="1:2">
      <c r="A117" s="123"/>
    </row>
    <row r="118" spans="1:2">
      <c r="A118" s="123"/>
    </row>
    <row r="119" spans="1:2">
      <c r="A119" s="123"/>
    </row>
    <row r="120" spans="1:2">
      <c r="A120" s="123"/>
    </row>
    <row r="121" spans="1:2">
      <c r="A121" s="123"/>
    </row>
    <row r="122" spans="1:2">
      <c r="A122" s="123"/>
    </row>
    <row r="123" spans="1:2">
      <c r="A123" s="123"/>
    </row>
    <row r="124" spans="1:2">
      <c r="A124" s="123"/>
    </row>
    <row r="125" spans="1:2">
      <c r="A125" s="123"/>
    </row>
    <row r="126" spans="1:2">
      <c r="A126" s="123"/>
    </row>
    <row r="127" spans="1:2">
      <c r="A127" s="123"/>
    </row>
    <row r="128" spans="1:2">
      <c r="A128" s="123"/>
    </row>
    <row r="129" spans="1:25">
      <c r="A129" s="123"/>
    </row>
    <row r="130" spans="1:25">
      <c r="A130" s="123"/>
    </row>
    <row r="131" spans="1:25">
      <c r="A131" s="123"/>
      <c r="B131" s="2" t="s">
        <v>131</v>
      </c>
    </row>
    <row r="132" spans="1:25">
      <c r="A132" s="123"/>
      <c r="B132" s="2" t="s">
        <v>132</v>
      </c>
    </row>
    <row r="133" spans="1:25">
      <c r="A133" s="123"/>
      <c r="B133" s="2" t="s">
        <v>133</v>
      </c>
    </row>
    <row r="134" spans="1:25">
      <c r="A134" s="123"/>
      <c r="B134" s="2" t="s">
        <v>134</v>
      </c>
      <c r="X134" s="125" t="s">
        <v>60</v>
      </c>
      <c r="Y134" s="125"/>
    </row>
    <row r="135" spans="1:25">
      <c r="A135" s="123"/>
    </row>
    <row r="136" spans="1:25">
      <c r="A136" s="123"/>
    </row>
    <row r="137" spans="1:25">
      <c r="A137" s="123"/>
    </row>
    <row r="138" spans="1:25">
      <c r="A138" s="123"/>
    </row>
    <row r="139" spans="1:25">
      <c r="A139" s="123"/>
    </row>
    <row r="140" spans="1:25">
      <c r="A140" s="123"/>
    </row>
    <row r="141" spans="1:25">
      <c r="A141" s="123"/>
    </row>
    <row r="142" spans="1:25">
      <c r="A142" s="123"/>
    </row>
    <row r="143" spans="1:25">
      <c r="A143" s="123"/>
    </row>
    <row r="144" spans="1:25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</sheetData>
  <sheetProtection password="CF72" sheet="1"/>
  <mergeCells count="17">
    <mergeCell ref="S13:S17"/>
    <mergeCell ref="B11:B12"/>
    <mergeCell ref="A69:A110"/>
    <mergeCell ref="A112:A153"/>
    <mergeCell ref="C11:C12"/>
    <mergeCell ref="D11:F11"/>
    <mergeCell ref="G11:H11"/>
    <mergeCell ref="D8:H8"/>
    <mergeCell ref="D4:H4"/>
    <mergeCell ref="D5:H5"/>
    <mergeCell ref="D6:H6"/>
    <mergeCell ref="D7:H7"/>
    <mergeCell ref="X107:Y107"/>
    <mergeCell ref="V3:W3"/>
    <mergeCell ref="V1:W1"/>
    <mergeCell ref="V2:W2"/>
    <mergeCell ref="X134:Y134"/>
  </mergeCells>
  <hyperlinks>
    <hyperlink ref="X134:Y134" location="TBX_B!A1" tooltip="Zpět na plánování" display="Zpět" xr:uid="{00000000-0004-0000-0900-000000000000}"/>
    <hyperlink ref="V2" location="'HK-XS'!A70" tooltip="Kontrola rozměrů pro zpracování" display="► Rozměry" xr:uid="{00000000-0004-0000-0900-000001000000}"/>
    <hyperlink ref="V1" location="AVS!A1" tooltip="Úvodní strana AVENTOS" display="Úvod AVENTOS" xr:uid="{00000000-0004-0000-0900-000002000000}"/>
    <hyperlink ref="V1:W1" location="BOX!A1" tooltip="Úvodní strana AVENTOS" display="► Úvod box systémů" xr:uid="{00000000-0004-0000-0900-000003000000}"/>
    <hyperlink ref="V2:W2" location="TBX_B!A115" tooltip="Kontrola rozměrů pro zpracování" display="► Rozměry" xr:uid="{00000000-0004-0000-0900-000004000000}"/>
    <hyperlink ref="X107:Y107" location="TBX_B!A1" tooltip="Zpět na plánování" display="Zpět" xr:uid="{00000000-0004-0000-0900-000005000000}"/>
    <hyperlink ref="V3:W3" location="TBX_B!A70" tooltip="Přehled rozměrů pro vrtání" display="► Výsledky" xr:uid="{00000000-0004-0000-0900-000006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55"/>
  <sheetViews>
    <sheetView showGridLines="0" showRowColHeaders="0" zoomScaleNormal="100" workbookViewId="0" xr3:uid="{65FA3815-DCC1-5481-872F-D2879ED395ED}">
      <selection activeCell="T27" sqref="T27"/>
    </sheetView>
  </sheetViews>
  <sheetFormatPr defaultRowHeight="14.25"/>
  <cols>
    <col min="1" max="1" width="1" style="2" customWidth="1"/>
    <col min="2" max="2" width="9" style="2"/>
    <col min="3" max="3" width="9" style="2" customWidth="1"/>
    <col min="4" max="6" width="9" style="2"/>
    <col min="7" max="7" width="11.625" style="2" bestFit="1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17" width="9" style="2" hidden="1" customWidth="1"/>
    <col min="18" max="18" width="18.875" style="2" hidden="1" customWidth="1"/>
    <col min="19" max="19" width="3.25" style="2" hidden="1" customWidth="1"/>
    <col min="20" max="21" width="9" style="2" customWidth="1"/>
    <col min="22" max="22" width="13.125" style="2" customWidth="1"/>
    <col min="23" max="23" width="9" style="2" customWidth="1"/>
    <col min="24" max="24" width="10" style="2" customWidth="1"/>
    <col min="25" max="25" width="1.25" style="2" customWidth="1"/>
    <col min="26" max="16384" width="9" style="2"/>
  </cols>
  <sheetData>
    <row r="1" spans="2:24" ht="25.5">
      <c r="B1" s="1" t="s">
        <v>98</v>
      </c>
      <c r="V1" s="127" t="s">
        <v>99</v>
      </c>
      <c r="W1" s="127"/>
    </row>
    <row r="2" spans="2:24" ht="20.25">
      <c r="B2" s="25" t="s">
        <v>135</v>
      </c>
      <c r="V2" s="126" t="s">
        <v>20</v>
      </c>
      <c r="W2" s="126"/>
      <c r="X2" s="59"/>
    </row>
    <row r="3" spans="2:24" ht="16.5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115">
        <f>IF(AND(C6&gt;=2,C4&gt;=14,C5&gt;=14),1,2)</f>
        <v>2</v>
      </c>
      <c r="M3" s="2" t="s">
        <v>23</v>
      </c>
      <c r="V3" s="126" t="s">
        <v>101</v>
      </c>
      <c r="W3" s="126"/>
      <c r="X3" s="59"/>
    </row>
    <row r="4" spans="2:24" ht="16.5" customHeight="1">
      <c r="B4" s="6"/>
      <c r="C4" s="102"/>
      <c r="D4" s="128" t="s">
        <v>26</v>
      </c>
      <c r="E4" s="128"/>
      <c r="F4" s="128"/>
      <c r="G4" s="128"/>
      <c r="H4" s="128"/>
      <c r="J4" s="13" t="str">
        <f>IF(C4&lt;14,"Minimálně 14 mm!"," ")</f>
        <v>Minimálně 14 mm!</v>
      </c>
      <c r="M4" s="2" t="s">
        <v>25</v>
      </c>
      <c r="W4" s="59"/>
      <c r="X4" s="59"/>
    </row>
    <row r="5" spans="2:24" ht="16.5" customHeight="1">
      <c r="B5" s="6"/>
      <c r="C5" s="102"/>
      <c r="D5" s="128" t="s">
        <v>27</v>
      </c>
      <c r="E5" s="128"/>
      <c r="F5" s="128"/>
      <c r="G5" s="128"/>
      <c r="H5" s="128"/>
      <c r="J5" s="13" t="str">
        <f>IF(C5&lt;14,"Minimálně 14 mm!"," ")</f>
        <v>Minimálně 14 mm!</v>
      </c>
      <c r="W5" s="94"/>
      <c r="X5" s="94"/>
    </row>
    <row r="6" spans="2:24" ht="16.5" customHeight="1">
      <c r="B6" s="6"/>
      <c r="C6" s="102"/>
      <c r="D6" s="128" t="s">
        <v>102</v>
      </c>
      <c r="E6" s="128"/>
      <c r="F6" s="128"/>
      <c r="G6" s="128"/>
      <c r="H6" s="128"/>
      <c r="J6" s="13" t="str">
        <f>IF(C6&lt;2,"Minimálně 2 mm!"," ")</f>
        <v>Minimálně 2 mm!</v>
      </c>
      <c r="W6" s="59"/>
      <c r="X6" s="59"/>
    </row>
    <row r="7" spans="2:24" ht="16.5" customHeight="1">
      <c r="B7" s="6"/>
      <c r="C7" s="102"/>
      <c r="D7" s="128" t="s">
        <v>103</v>
      </c>
      <c r="E7" s="128"/>
      <c r="F7" s="128"/>
      <c r="G7" s="128"/>
      <c r="H7" s="128"/>
      <c r="W7" s="63"/>
      <c r="X7" s="63"/>
    </row>
    <row r="8" spans="2:24" ht="16.5" customHeight="1">
      <c r="B8" s="6"/>
      <c r="C8" s="102"/>
      <c r="D8" s="128" t="s">
        <v>104</v>
      </c>
      <c r="E8" s="128"/>
      <c r="F8" s="128"/>
      <c r="G8" s="128"/>
      <c r="H8" s="128"/>
      <c r="W8" s="59"/>
      <c r="X8" s="59"/>
    </row>
    <row r="9" spans="2:24" ht="16.5" customHeight="1">
      <c r="B9" s="6"/>
      <c r="C9" s="15" t="str">
        <f>IF(L3=2, "Vyplňte správně všechny parametry!"," ")</f>
        <v>Vyplňte správně všechny parametry!</v>
      </c>
      <c r="D9" s="5"/>
      <c r="E9" s="5"/>
      <c r="F9" s="5"/>
      <c r="G9" s="5"/>
      <c r="H9" s="5"/>
    </row>
    <row r="10" spans="2:24">
      <c r="L10" s="115"/>
      <c r="M10" s="115"/>
      <c r="N10" s="115"/>
      <c r="O10" s="115"/>
      <c r="P10" s="115"/>
      <c r="Q10" s="115"/>
    </row>
    <row r="11" spans="2:24" ht="15" customHeight="1">
      <c r="B11" s="129" t="s">
        <v>105</v>
      </c>
      <c r="C11" s="129" t="s">
        <v>106</v>
      </c>
      <c r="D11" s="130" t="s">
        <v>33</v>
      </c>
      <c r="E11" s="130"/>
      <c r="F11" s="130"/>
      <c r="G11" s="130" t="s">
        <v>34</v>
      </c>
      <c r="H11" s="130"/>
      <c r="L11" s="14"/>
      <c r="M11" s="14"/>
      <c r="N11" s="14"/>
      <c r="O11" s="14"/>
      <c r="P11" s="14"/>
    </row>
    <row r="12" spans="2:24" ht="15" customHeight="1">
      <c r="B12" s="129"/>
      <c r="C12" s="129"/>
      <c r="D12" s="117" t="s">
        <v>107</v>
      </c>
      <c r="E12" s="117" t="s">
        <v>38</v>
      </c>
      <c r="F12" s="117" t="s">
        <v>39</v>
      </c>
      <c r="G12" s="117" t="s">
        <v>107</v>
      </c>
      <c r="H12" s="117" t="s">
        <v>108</v>
      </c>
      <c r="L12" s="115"/>
      <c r="M12" s="115"/>
      <c r="N12" s="115"/>
      <c r="O12" s="115"/>
      <c r="P12" s="115"/>
      <c r="R12" s="2" t="s">
        <v>109</v>
      </c>
      <c r="W12" s="2" t="s">
        <v>44</v>
      </c>
    </row>
    <row r="13" spans="2:24" ht="28.5" customHeight="1">
      <c r="B13" s="12">
        <v>5</v>
      </c>
      <c r="C13" s="103"/>
      <c r="D13" s="12" t="str">
        <f>IF(OR($C$13=0,$L$3=2)," ",$L$16)</f>
        <v xml:space="preserve"> </v>
      </c>
      <c r="E13" s="12" t="str">
        <f>IF(OR($C$13=0,$L$3=2)," ",$M$16+$C$5-$C$8)</f>
        <v xml:space="preserve"> </v>
      </c>
      <c r="F13" s="12" t="str">
        <f>E13</f>
        <v xml:space="preserve"> </v>
      </c>
      <c r="G13" s="12" t="str">
        <f>IF(OR($C$13=0,$L$3=2)," ",$C$17+$C$16+$C$15+$C$14+$C$7+$C$6*4+$O$16)</f>
        <v xml:space="preserve"> </v>
      </c>
      <c r="H13" s="12" t="str">
        <f>IF(OR($L$3=2,$C$13=0)," ",$P$16)</f>
        <v xml:space="preserve"> </v>
      </c>
      <c r="Q13" s="9" t="str">
        <f>$G$13</f>
        <v xml:space="preserve"> </v>
      </c>
      <c r="R13" s="10" t="s">
        <v>110</v>
      </c>
      <c r="S13" s="131" t="str">
        <f>K11&amp;" "&amp;IF(C13&gt;0,P11,IF(C14&gt;0,O11,IF(C15&gt;0,N11,IF(C16&gt;0,M11,IF(C17&gt;0,L11,0)))))</f>
        <v xml:space="preserve"> 0</v>
      </c>
      <c r="T13" s="9" t="str">
        <f>$G$13</f>
        <v xml:space="preserve"> </v>
      </c>
      <c r="W13" s="115" t="str">
        <f>$E$17</f>
        <v xml:space="preserve"> </v>
      </c>
    </row>
    <row r="14" spans="2:24" ht="28.5" customHeight="1">
      <c r="B14" s="3">
        <v>4</v>
      </c>
      <c r="C14" s="104"/>
      <c r="D14" s="3" t="str">
        <f>IF(OR($C$14=0,$L$3=2)," ",$L$16)</f>
        <v xml:space="preserve"> </v>
      </c>
      <c r="E14" s="3" t="str">
        <f>IF(OR($C$14=0,$L$3=2)," ",$M$16+$C$5-$C$8)</f>
        <v xml:space="preserve"> </v>
      </c>
      <c r="F14" s="3" t="str">
        <f>E14</f>
        <v xml:space="preserve"> </v>
      </c>
      <c r="G14" s="3" t="str">
        <f>IF(OR($C$14=0,$L$3=2)," ",$C$17+$C$16+$C$15+$C$7+$C$6*3+$O$16)</f>
        <v xml:space="preserve"> </v>
      </c>
      <c r="H14" s="3" t="str">
        <f>IF(OR($L$3=2,$C$14=0)," ",$P$16)</f>
        <v xml:space="preserve"> </v>
      </c>
      <c r="Q14" s="9" t="str">
        <f>$G$14</f>
        <v xml:space="preserve"> </v>
      </c>
      <c r="R14" s="8" t="s">
        <v>111</v>
      </c>
      <c r="S14" s="132"/>
      <c r="T14" s="9" t="str">
        <f>$G$14</f>
        <v xml:space="preserve"> </v>
      </c>
    </row>
    <row r="15" spans="2:24" ht="28.5" customHeight="1">
      <c r="B15" s="3">
        <v>3</v>
      </c>
      <c r="C15" s="104"/>
      <c r="D15" s="3" t="str">
        <f>IF(OR($C$15=0,$L$3=2)," ",$L$16)</f>
        <v xml:space="preserve"> </v>
      </c>
      <c r="E15" s="3" t="str">
        <f>IF(OR($C$15=0,$L$3=2)," ",$M$16+$C$5-$C$8)</f>
        <v xml:space="preserve"> </v>
      </c>
      <c r="F15" s="3" t="str">
        <f>E15</f>
        <v xml:space="preserve"> </v>
      </c>
      <c r="G15" s="3" t="str">
        <f>IF(OR($C$15=0,$L$3=2)," ",$C$17+$C$16+$C$7+$C$6*2+$O$16)</f>
        <v xml:space="preserve"> </v>
      </c>
      <c r="H15" s="3" t="str">
        <f>IF(OR($L$3=2,$C$15=0)," ",$P$16)</f>
        <v xml:space="preserve"> </v>
      </c>
      <c r="Q15" s="9" t="str">
        <f>$G$15</f>
        <v xml:space="preserve"> </v>
      </c>
      <c r="R15" s="8" t="s">
        <v>112</v>
      </c>
      <c r="S15" s="132"/>
      <c r="T15" s="9" t="str">
        <f>$G$15</f>
        <v xml:space="preserve"> </v>
      </c>
      <c r="W15" s="16" t="str">
        <f>$E$17</f>
        <v xml:space="preserve"> </v>
      </c>
    </row>
    <row r="16" spans="2:24" ht="28.5" customHeight="1">
      <c r="B16" s="3">
        <v>2</v>
      </c>
      <c r="C16" s="104"/>
      <c r="D16" s="3" t="str">
        <f>IF(OR($C$16=0,$L$3=2)," ",$L$16)</f>
        <v xml:space="preserve"> </v>
      </c>
      <c r="E16" s="3" t="str">
        <f>IF(OR($C$16=0,$L$3=2)," ",$M$16+$C$5-$C$8)</f>
        <v xml:space="preserve"> </v>
      </c>
      <c r="F16" s="3" t="str">
        <f>E16</f>
        <v xml:space="preserve"> </v>
      </c>
      <c r="G16" s="3" t="str">
        <f>IF(OR($C$16=0,$L$3=2)," ",$C$17+$C$7+$C$6+$O$16)</f>
        <v xml:space="preserve"> </v>
      </c>
      <c r="H16" s="3" t="str">
        <f>IF(OR($L$3=2,$C$16=0)," ",$P$16)</f>
        <v xml:space="preserve"> </v>
      </c>
      <c r="K16" s="4" t="s">
        <v>113</v>
      </c>
      <c r="L16" s="4">
        <v>49.5</v>
      </c>
      <c r="M16" s="4">
        <v>15.5</v>
      </c>
      <c r="N16" s="4">
        <v>15.5</v>
      </c>
      <c r="O16" s="4">
        <v>36</v>
      </c>
      <c r="P16" s="4">
        <v>37</v>
      </c>
      <c r="Q16" s="9" t="str">
        <f>$G$16</f>
        <v xml:space="preserve"> </v>
      </c>
      <c r="R16" s="8" t="s">
        <v>114</v>
      </c>
      <c r="S16" s="132"/>
      <c r="T16" s="9" t="str">
        <f>$G$16</f>
        <v xml:space="preserve"> </v>
      </c>
      <c r="W16" s="16" t="str">
        <f>$E$17</f>
        <v xml:space="preserve"> </v>
      </c>
    </row>
    <row r="17" spans="2:24" ht="28.5" customHeight="1">
      <c r="B17" s="3" t="s">
        <v>115</v>
      </c>
      <c r="C17" s="104"/>
      <c r="D17" s="3" t="str">
        <f>IF(OR($C$17=0,$L$3=2)," ",$L$17+$C$4-$C$7)</f>
        <v xml:space="preserve"> </v>
      </c>
      <c r="E17" s="3" t="str">
        <f>IF(OR($C$17=0,$L$3=2)," ",$M$17+$C$5-$C$8)</f>
        <v xml:space="preserve"> </v>
      </c>
      <c r="F17" s="3" t="str">
        <f>E17</f>
        <v xml:space="preserve"> </v>
      </c>
      <c r="G17" s="3" t="str">
        <f>IF(OR($C$17=0,$L$3=2)," ",$O$17+$C$4)</f>
        <v xml:space="preserve"> </v>
      </c>
      <c r="H17" s="3" t="str">
        <f>IF(OR($C$17=0,$L$3=2)," ",$P$17)</f>
        <v xml:space="preserve"> </v>
      </c>
      <c r="K17" s="4" t="s">
        <v>115</v>
      </c>
      <c r="L17" s="4">
        <v>49.5</v>
      </c>
      <c r="M17" s="4">
        <v>15.5</v>
      </c>
      <c r="N17" s="4">
        <v>15.5</v>
      </c>
      <c r="O17" s="4">
        <v>36</v>
      </c>
      <c r="P17" s="4">
        <v>37</v>
      </c>
      <c r="Q17" s="9" t="str">
        <f>$G$17</f>
        <v xml:space="preserve"> </v>
      </c>
      <c r="R17" s="7" t="s">
        <v>116</v>
      </c>
      <c r="S17" s="132"/>
      <c r="T17" s="17" t="str">
        <f>IF(OR($C$17=0,$L$3=2)," ",$O$17+$C$4)</f>
        <v xml:space="preserve"> </v>
      </c>
      <c r="W17" s="9" t="s">
        <v>117</v>
      </c>
      <c r="X17" s="5" t="str">
        <f>$D$16</f>
        <v xml:space="preserve"> </v>
      </c>
    </row>
    <row r="18" spans="2:24">
      <c r="W18" s="9" t="s">
        <v>118</v>
      </c>
      <c r="X18" s="5" t="str">
        <f>$D$17</f>
        <v xml:space="preserve"> </v>
      </c>
    </row>
    <row r="19" spans="2:24">
      <c r="B19" s="2" t="s">
        <v>119</v>
      </c>
    </row>
    <row r="20" spans="2:24">
      <c r="B20" s="2" t="s">
        <v>48</v>
      </c>
      <c r="T20" s="11" t="s">
        <v>120</v>
      </c>
    </row>
    <row r="22" spans="2:24">
      <c r="B22" s="21" t="s">
        <v>121</v>
      </c>
    </row>
    <row r="24" spans="2:24">
      <c r="B24" s="2" t="s">
        <v>136</v>
      </c>
    </row>
    <row r="25" spans="2:24">
      <c r="B25" s="2" t="s">
        <v>123</v>
      </c>
    </row>
    <row r="26" spans="2:24">
      <c r="B26" s="2" t="s">
        <v>137</v>
      </c>
    </row>
    <row r="27" spans="2:24">
      <c r="B27" s="2" t="s">
        <v>138</v>
      </c>
    </row>
    <row r="29" spans="2:24">
      <c r="B29" s="2" t="s">
        <v>124</v>
      </c>
    </row>
    <row r="69" spans="1:6" ht="18">
      <c r="A69" s="123"/>
      <c r="B69" s="22" t="s">
        <v>125</v>
      </c>
    </row>
    <row r="70" spans="1:6">
      <c r="A70" s="123"/>
      <c r="F70" s="9" t="s">
        <v>126</v>
      </c>
    </row>
    <row r="71" spans="1:6" ht="6.75" customHeight="1">
      <c r="A71" s="123"/>
    </row>
    <row r="72" spans="1:6">
      <c r="A72" s="123"/>
    </row>
    <row r="73" spans="1:6">
      <c r="A73" s="123"/>
    </row>
    <row r="74" spans="1:6">
      <c r="A74" s="123"/>
      <c r="B74" s="2" t="str">
        <f>G13</f>
        <v xml:space="preserve"> </v>
      </c>
    </row>
    <row r="75" spans="1:6">
      <c r="A75" s="123"/>
    </row>
    <row r="76" spans="1:6" ht="9" customHeight="1">
      <c r="A76" s="123"/>
    </row>
    <row r="77" spans="1:6">
      <c r="A77" s="123"/>
      <c r="B77" s="2" t="str">
        <f>G14</f>
        <v xml:space="preserve"> </v>
      </c>
    </row>
    <row r="78" spans="1:6">
      <c r="A78" s="123"/>
    </row>
    <row r="79" spans="1:6">
      <c r="A79" s="123"/>
    </row>
    <row r="80" spans="1:6">
      <c r="A80" s="123"/>
      <c r="B80" s="2" t="str">
        <f>G15</f>
        <v xml:space="preserve"> </v>
      </c>
    </row>
    <row r="81" spans="1:21">
      <c r="A81" s="123"/>
    </row>
    <row r="82" spans="1:21">
      <c r="A82" s="123"/>
    </row>
    <row r="83" spans="1:21">
      <c r="A83" s="123"/>
      <c r="B83" s="2" t="str">
        <f>G16</f>
        <v xml:space="preserve"> </v>
      </c>
    </row>
    <row r="84" spans="1:21">
      <c r="A84" s="123"/>
    </row>
    <row r="85" spans="1:21">
      <c r="A85" s="123"/>
    </row>
    <row r="86" spans="1:21" ht="10.5" customHeight="1">
      <c r="A86" s="123"/>
    </row>
    <row r="87" spans="1:21">
      <c r="A87" s="123"/>
      <c r="B87" s="2" t="str">
        <f>G17</f>
        <v xml:space="preserve"> </v>
      </c>
    </row>
    <row r="88" spans="1:21">
      <c r="A88" s="123"/>
    </row>
    <row r="89" spans="1:21">
      <c r="A89" s="123"/>
      <c r="B89" s="2">
        <v>0</v>
      </c>
    </row>
    <row r="90" spans="1:21">
      <c r="A90" s="123"/>
    </row>
    <row r="91" spans="1:21">
      <c r="A91" s="123"/>
    </row>
    <row r="92" spans="1:21">
      <c r="A92" s="123"/>
      <c r="F92" s="9" t="s">
        <v>127</v>
      </c>
      <c r="U92" s="56" t="s">
        <v>128</v>
      </c>
    </row>
    <row r="93" spans="1:21" ht="9" customHeight="1">
      <c r="A93" s="123"/>
    </row>
    <row r="94" spans="1:21">
      <c r="A94" s="123"/>
    </row>
    <row r="95" spans="1:21">
      <c r="A95" s="123"/>
    </row>
    <row r="96" spans="1:21">
      <c r="A96" s="123"/>
    </row>
    <row r="97" spans="1:25">
      <c r="A97" s="123"/>
    </row>
    <row r="98" spans="1:25">
      <c r="A98" s="123"/>
    </row>
    <row r="99" spans="1:25">
      <c r="A99" s="123"/>
    </row>
    <row r="100" spans="1:25">
      <c r="A100" s="123"/>
    </row>
    <row r="101" spans="1:25">
      <c r="A101" s="123"/>
    </row>
    <row r="102" spans="1:25">
      <c r="A102" s="123"/>
      <c r="C102" s="56" t="str">
        <f>D17</f>
        <v xml:space="preserve"> </v>
      </c>
      <c r="H102" s="2" t="str">
        <f>D16</f>
        <v xml:space="preserve"> </v>
      </c>
    </row>
    <row r="103" spans="1:25">
      <c r="A103" s="123"/>
    </row>
    <row r="104" spans="1:25">
      <c r="A104" s="123"/>
    </row>
    <row r="105" spans="1:25">
      <c r="A105" s="123"/>
      <c r="C105" s="2" t="str">
        <f>F17</f>
        <v xml:space="preserve"> </v>
      </c>
      <c r="G105" s="56" t="str">
        <f>E17</f>
        <v xml:space="preserve"> </v>
      </c>
      <c r="J105" s="5" t="str">
        <f>F16</f>
        <v xml:space="preserve"> </v>
      </c>
      <c r="V105" s="114" t="str">
        <f>E16</f>
        <v xml:space="preserve"> </v>
      </c>
    </row>
    <row r="106" spans="1:25">
      <c r="A106" s="123"/>
    </row>
    <row r="107" spans="1:25">
      <c r="A107" s="123"/>
      <c r="C107" s="2" t="s">
        <v>129</v>
      </c>
      <c r="X107" s="125" t="s">
        <v>60</v>
      </c>
      <c r="Y107" s="125"/>
    </row>
    <row r="108" spans="1:25">
      <c r="A108" s="123"/>
    </row>
    <row r="109" spans="1:25">
      <c r="A109" s="123"/>
    </row>
    <row r="110" spans="1:25">
      <c r="A110" s="123"/>
    </row>
    <row r="114" spans="1:2">
      <c r="A114" s="123"/>
    </row>
    <row r="115" spans="1:2" ht="18">
      <c r="A115" s="123"/>
      <c r="B115" s="22" t="s">
        <v>130</v>
      </c>
    </row>
    <row r="116" spans="1:2">
      <c r="A116" s="123"/>
    </row>
    <row r="117" spans="1:2">
      <c r="A117" s="123"/>
    </row>
    <row r="118" spans="1:2">
      <c r="A118" s="123"/>
    </row>
    <row r="119" spans="1:2">
      <c r="A119" s="123"/>
    </row>
    <row r="120" spans="1:2">
      <c r="A120" s="123"/>
    </row>
    <row r="121" spans="1:2">
      <c r="A121" s="123"/>
    </row>
    <row r="122" spans="1:2">
      <c r="A122" s="123"/>
    </row>
    <row r="123" spans="1:2">
      <c r="A123" s="123"/>
    </row>
    <row r="124" spans="1:2">
      <c r="A124" s="123"/>
    </row>
    <row r="125" spans="1:2">
      <c r="A125" s="123"/>
    </row>
    <row r="126" spans="1:2">
      <c r="A126" s="123"/>
    </row>
    <row r="127" spans="1:2">
      <c r="A127" s="123"/>
    </row>
    <row r="128" spans="1:2">
      <c r="A128" s="123"/>
    </row>
    <row r="129" spans="1:25">
      <c r="A129" s="123"/>
    </row>
    <row r="130" spans="1:25">
      <c r="A130" s="123"/>
    </row>
    <row r="131" spans="1:25">
      <c r="A131" s="123"/>
    </row>
    <row r="132" spans="1:25">
      <c r="A132" s="123"/>
    </row>
    <row r="133" spans="1:25">
      <c r="A133" s="123"/>
    </row>
    <row r="134" spans="1:25">
      <c r="A134" s="123"/>
    </row>
    <row r="135" spans="1:25">
      <c r="A135" s="123"/>
    </row>
    <row r="136" spans="1:25">
      <c r="A136" s="123"/>
    </row>
    <row r="137" spans="1:25">
      <c r="A137" s="123"/>
      <c r="B137" s="2" t="s">
        <v>131</v>
      </c>
    </row>
    <row r="138" spans="1:25">
      <c r="A138" s="123"/>
      <c r="B138" s="2" t="s">
        <v>132</v>
      </c>
      <c r="O138" s="2" t="s">
        <v>139</v>
      </c>
    </row>
    <row r="139" spans="1:25">
      <c r="A139" s="123"/>
      <c r="B139" s="2" t="s">
        <v>133</v>
      </c>
    </row>
    <row r="140" spans="1:25">
      <c r="A140" s="123"/>
      <c r="B140" s="2" t="s">
        <v>134</v>
      </c>
      <c r="X140" s="125" t="s">
        <v>60</v>
      </c>
      <c r="Y140" s="125"/>
    </row>
    <row r="141" spans="1:25">
      <c r="A141" s="123"/>
    </row>
    <row r="142" spans="1:25">
      <c r="A142" s="123"/>
    </row>
    <row r="143" spans="1:25">
      <c r="A143" s="123"/>
    </row>
    <row r="144" spans="1:25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  <row r="154" spans="1:1">
      <c r="A154" s="123"/>
    </row>
    <row r="155" spans="1:1">
      <c r="A155" s="123"/>
    </row>
  </sheetData>
  <sheetProtection password="CF72" sheet="1"/>
  <mergeCells count="17">
    <mergeCell ref="A114:A155"/>
    <mergeCell ref="X140:Y140"/>
    <mergeCell ref="B11:B12"/>
    <mergeCell ref="C11:C12"/>
    <mergeCell ref="D11:F11"/>
    <mergeCell ref="G11:H11"/>
    <mergeCell ref="S13:S17"/>
    <mergeCell ref="A69:A110"/>
    <mergeCell ref="X107:Y107"/>
    <mergeCell ref="D8:H8"/>
    <mergeCell ref="D4:H4"/>
    <mergeCell ref="D5:H5"/>
    <mergeCell ref="D6:H6"/>
    <mergeCell ref="V1:W1"/>
    <mergeCell ref="V2:W2"/>
    <mergeCell ref="D7:H7"/>
    <mergeCell ref="V3:W3"/>
  </mergeCells>
  <hyperlinks>
    <hyperlink ref="X140:Y140" location="TBX_T!A1" tooltip="Zpět na plánování" display="Zpět" xr:uid="{00000000-0004-0000-0A00-000000000000}"/>
    <hyperlink ref="V1" location="AVS!A1" tooltip="Úvodní strana AVENTOS" display="Úvod AVENTOS" xr:uid="{00000000-0004-0000-0A00-000001000000}"/>
    <hyperlink ref="V1:W1" location="BOX!A1" tooltip="Úvodní strana AVENTOS" display="► Úvod box systémů" xr:uid="{00000000-0004-0000-0A00-000002000000}"/>
    <hyperlink ref="V3:W3" location="TBX_T!A70" tooltip="Přehled rozměrů pro vrtání" display="► Výsledky" xr:uid="{00000000-0004-0000-0A00-000003000000}"/>
    <hyperlink ref="X107:Y107" location="TBX_T!A1" tooltip="Zpět na plánování" display="Zpět" xr:uid="{00000000-0004-0000-0A00-000004000000}"/>
    <hyperlink ref="V2" location="'HK-XS'!A70" tooltip="Kontrola rozměrů pro zpracování" display="► Rozměry" xr:uid="{00000000-0004-0000-0A00-000005000000}"/>
    <hyperlink ref="V2:W2" location="TBX_T!A115" tooltip="Kontrola rozměrů pro zpracování" display="► Rozměry" xr:uid="{00000000-0004-0000-0A00-000006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55"/>
  <sheetViews>
    <sheetView showGridLines="0" showRowColHeaders="0" zoomScaleNormal="100" workbookViewId="0" xr3:uid="{FF0BDA26-1AD6-5648-BD9A-E01AA4DDCA7C}">
      <selection activeCell="C13" sqref="C13:C17"/>
    </sheetView>
  </sheetViews>
  <sheetFormatPr defaultRowHeight="14.25"/>
  <cols>
    <col min="1" max="1" width="1" style="2" customWidth="1"/>
    <col min="2" max="2" width="9" style="2"/>
    <col min="3" max="3" width="9" style="2" customWidth="1"/>
    <col min="4" max="6" width="9" style="2"/>
    <col min="7" max="7" width="11.625" style="2" bestFit="1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17" width="9" style="2" hidden="1" customWidth="1"/>
    <col min="18" max="18" width="18.875" style="2" hidden="1" customWidth="1"/>
    <col min="19" max="19" width="3.25" style="2" hidden="1" customWidth="1"/>
    <col min="20" max="21" width="9" style="2"/>
    <col min="22" max="22" width="13.125" style="2" customWidth="1"/>
    <col min="23" max="23" width="9" style="2" customWidth="1"/>
    <col min="24" max="24" width="10" style="2" customWidth="1"/>
    <col min="25" max="25" width="1.25" style="2" customWidth="1"/>
    <col min="26" max="16384" width="9" style="2"/>
  </cols>
  <sheetData>
    <row r="1" spans="2:24" ht="25.5">
      <c r="B1" s="1" t="s">
        <v>97</v>
      </c>
      <c r="V1" s="127" t="s">
        <v>99</v>
      </c>
      <c r="W1" s="127"/>
    </row>
    <row r="2" spans="2:24" ht="20.25">
      <c r="B2" s="25"/>
      <c r="V2" s="126" t="s">
        <v>20</v>
      </c>
      <c r="W2" s="126"/>
      <c r="X2" s="59"/>
    </row>
    <row r="3" spans="2:24" ht="16.5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115">
        <f>IF(AND(C6&gt;=2,C4&gt;=14,C5&gt;=14),1,2)</f>
        <v>2</v>
      </c>
      <c r="M3" s="2" t="s">
        <v>23</v>
      </c>
      <c r="V3" s="126" t="s">
        <v>101</v>
      </c>
      <c r="W3" s="126"/>
      <c r="X3" s="59"/>
    </row>
    <row r="4" spans="2:24" ht="16.5" customHeight="1">
      <c r="B4" s="6"/>
      <c r="C4" s="102"/>
      <c r="D4" s="128" t="s">
        <v>26</v>
      </c>
      <c r="E4" s="128"/>
      <c r="F4" s="128"/>
      <c r="G4" s="128"/>
      <c r="H4" s="128"/>
      <c r="J4" s="13" t="str">
        <f>IF(C4&lt;14,"Minimálně 14 mm!"," ")</f>
        <v>Minimálně 14 mm!</v>
      </c>
      <c r="M4" s="2" t="s">
        <v>25</v>
      </c>
      <c r="W4" s="59"/>
      <c r="X4" s="59"/>
    </row>
    <row r="5" spans="2:24" ht="16.5" customHeight="1">
      <c r="B5" s="6"/>
      <c r="C5" s="102"/>
      <c r="D5" s="128" t="s">
        <v>27</v>
      </c>
      <c r="E5" s="128"/>
      <c r="F5" s="128"/>
      <c r="G5" s="128"/>
      <c r="H5" s="128"/>
      <c r="J5" s="13" t="str">
        <f>IF(C5&lt;14,"Minimálně 14 mm!"," ")</f>
        <v>Minimálně 14 mm!</v>
      </c>
      <c r="W5" s="59"/>
      <c r="X5" s="59"/>
    </row>
    <row r="6" spans="2:24" ht="16.5" customHeight="1">
      <c r="B6" s="6"/>
      <c r="C6" s="102"/>
      <c r="D6" s="128" t="s">
        <v>102</v>
      </c>
      <c r="E6" s="128"/>
      <c r="F6" s="128"/>
      <c r="G6" s="128"/>
      <c r="H6" s="128"/>
      <c r="J6" s="13" t="str">
        <f>IF(C6&lt;2,"Minimálně 2 mm!"," ")</f>
        <v>Minimálně 2 mm!</v>
      </c>
      <c r="W6" s="94"/>
      <c r="X6" s="94"/>
    </row>
    <row r="7" spans="2:24" ht="16.5" customHeight="1">
      <c r="B7" s="6"/>
      <c r="C7" s="102"/>
      <c r="D7" s="128" t="s">
        <v>103</v>
      </c>
      <c r="E7" s="128"/>
      <c r="F7" s="128"/>
      <c r="G7" s="128"/>
      <c r="H7" s="128"/>
      <c r="W7" s="63"/>
      <c r="X7" s="63"/>
    </row>
    <row r="8" spans="2:24" ht="16.5" customHeight="1">
      <c r="B8" s="6"/>
      <c r="C8" s="102"/>
      <c r="D8" s="128" t="s">
        <v>104</v>
      </c>
      <c r="E8" s="128"/>
      <c r="F8" s="128"/>
      <c r="G8" s="128"/>
      <c r="H8" s="128"/>
      <c r="W8" s="59"/>
      <c r="X8" s="59"/>
    </row>
    <row r="9" spans="2:24" ht="16.5" customHeight="1">
      <c r="B9" s="6"/>
      <c r="C9" s="15" t="str">
        <f>IF(L3=2, "Vyplňte správně všechny parametry!"," ")</f>
        <v>Vyplňte správně všechny parametry!</v>
      </c>
      <c r="D9" s="5"/>
      <c r="E9" s="5"/>
      <c r="F9" s="5"/>
      <c r="G9" s="5"/>
      <c r="H9" s="5"/>
    </row>
    <row r="10" spans="2:24">
      <c r="L10" s="115"/>
      <c r="M10" s="115"/>
      <c r="N10" s="115"/>
      <c r="O10" s="115"/>
      <c r="P10" s="115"/>
      <c r="Q10" s="115"/>
    </row>
    <row r="11" spans="2:24" ht="15" customHeight="1">
      <c r="B11" s="129" t="s">
        <v>105</v>
      </c>
      <c r="C11" s="129" t="s">
        <v>106</v>
      </c>
      <c r="D11" s="130" t="s">
        <v>33</v>
      </c>
      <c r="E11" s="130"/>
      <c r="F11" s="130"/>
      <c r="G11" s="130" t="s">
        <v>34</v>
      </c>
      <c r="H11" s="130"/>
      <c r="L11" s="14"/>
      <c r="M11" s="14"/>
      <c r="N11" s="14"/>
      <c r="O11" s="14"/>
      <c r="P11" s="14"/>
    </row>
    <row r="12" spans="2:24" ht="15" customHeight="1">
      <c r="B12" s="129"/>
      <c r="C12" s="129"/>
      <c r="D12" s="117" t="s">
        <v>107</v>
      </c>
      <c r="E12" s="117" t="s">
        <v>38</v>
      </c>
      <c r="F12" s="117" t="s">
        <v>39</v>
      </c>
      <c r="G12" s="117" t="s">
        <v>107</v>
      </c>
      <c r="H12" s="117" t="s">
        <v>108</v>
      </c>
      <c r="L12" s="115"/>
      <c r="M12" s="115"/>
      <c r="N12" s="115"/>
      <c r="O12" s="115"/>
      <c r="P12" s="115"/>
      <c r="R12" s="2" t="s">
        <v>109</v>
      </c>
      <c r="W12" s="2" t="s">
        <v>44</v>
      </c>
    </row>
    <row r="13" spans="2:24" ht="28.5" customHeight="1">
      <c r="B13" s="12">
        <v>5</v>
      </c>
      <c r="C13" s="103"/>
      <c r="D13" s="12" t="str">
        <f>IF(OR($C$13=0,$L$3=2)," ",$L$16)</f>
        <v xml:space="preserve"> </v>
      </c>
      <c r="E13" s="12" t="str">
        <f>IF(OR($C$13=0,$L$3=2)," ",$M$16+$C$5-$C$8)</f>
        <v xml:space="preserve"> </v>
      </c>
      <c r="F13" s="12" t="str">
        <f>E13</f>
        <v xml:space="preserve"> </v>
      </c>
      <c r="G13" s="12" t="str">
        <f>IF(OR($C$13=0,$L$3=2)," ",$C$17+$C$16+$C$15+$C$14+$C$7+$C$6*4+$O$16)</f>
        <v xml:space="preserve"> </v>
      </c>
      <c r="H13" s="12" t="str">
        <f>IF(OR($L$3=2,$C$13=0)," ",$P$16)</f>
        <v xml:space="preserve"> </v>
      </c>
      <c r="Q13" s="9" t="str">
        <f>$G$13</f>
        <v xml:space="preserve"> </v>
      </c>
      <c r="R13" s="10" t="s">
        <v>110</v>
      </c>
      <c r="S13" s="131" t="str">
        <f>K11&amp;" "&amp;IF(C13&gt;0,P11,IF(C14&gt;0,O11,IF(C15&gt;0,N11,IF(C16&gt;0,M11,IF(C17&gt;0,L11,0)))))</f>
        <v xml:space="preserve"> 0</v>
      </c>
      <c r="T13" s="9" t="str">
        <f>$G$13</f>
        <v xml:space="preserve"> </v>
      </c>
      <c r="W13" s="115" t="str">
        <f>$E$17</f>
        <v xml:space="preserve"> </v>
      </c>
    </row>
    <row r="14" spans="2:24" ht="28.5" customHeight="1">
      <c r="B14" s="3">
        <v>4</v>
      </c>
      <c r="C14" s="104"/>
      <c r="D14" s="3" t="str">
        <f>IF(OR($C$14=0,$L$3=2)," ",$L$16)</f>
        <v xml:space="preserve"> </v>
      </c>
      <c r="E14" s="3" t="str">
        <f>IF(OR($C$14=0,$L$3=2)," ",$M$16+$C$5-$C$8)</f>
        <v xml:space="preserve"> </v>
      </c>
      <c r="F14" s="3" t="str">
        <f>E14</f>
        <v xml:space="preserve"> </v>
      </c>
      <c r="G14" s="3" t="str">
        <f>IF(OR($C$14=0,$L$3=2)," ",$C$17+$C$16+$C$15+$C$7+$C$6*3+$O$16)</f>
        <v xml:space="preserve"> </v>
      </c>
      <c r="H14" s="3" t="str">
        <f>IF(OR($L$3=2,$C$14=0)," ",$P$16)</f>
        <v xml:space="preserve"> </v>
      </c>
      <c r="Q14" s="9" t="str">
        <f>$G$14</f>
        <v xml:space="preserve"> </v>
      </c>
      <c r="R14" s="8" t="s">
        <v>111</v>
      </c>
      <c r="S14" s="132"/>
      <c r="T14" s="9" t="str">
        <f>$G$14</f>
        <v xml:space="preserve"> </v>
      </c>
    </row>
    <row r="15" spans="2:24" ht="28.5" customHeight="1">
      <c r="B15" s="3">
        <v>3</v>
      </c>
      <c r="C15" s="104"/>
      <c r="D15" s="3" t="str">
        <f>IF(OR($C$15=0,$L$3=2)," ",$L$16)</f>
        <v xml:space="preserve"> </v>
      </c>
      <c r="E15" s="3" t="str">
        <f>IF(OR($C$15=0,$L$3=2)," ",$M$16+$C$5-$C$8)</f>
        <v xml:space="preserve"> </v>
      </c>
      <c r="F15" s="3" t="str">
        <f>E15</f>
        <v xml:space="preserve"> </v>
      </c>
      <c r="G15" s="3" t="str">
        <f>IF(OR($C$15=0,$L$3=2)," ",$C$17+$C$16+$C$7+$C$6*2+$O$16)</f>
        <v xml:space="preserve"> </v>
      </c>
      <c r="H15" s="3" t="str">
        <f>IF(OR($L$3=2,$C$15=0)," ",$P$16)</f>
        <v xml:space="preserve"> </v>
      </c>
      <c r="Q15" s="9" t="str">
        <f>$G$15</f>
        <v xml:space="preserve"> </v>
      </c>
      <c r="R15" s="8" t="s">
        <v>112</v>
      </c>
      <c r="S15" s="132"/>
      <c r="T15" s="9" t="str">
        <f>$G$15</f>
        <v xml:space="preserve"> </v>
      </c>
      <c r="W15" s="16" t="str">
        <f>$E$17</f>
        <v xml:space="preserve"> </v>
      </c>
    </row>
    <row r="16" spans="2:24" ht="28.5" customHeight="1">
      <c r="B16" s="3">
        <v>2</v>
      </c>
      <c r="C16" s="104"/>
      <c r="D16" s="3" t="str">
        <f>IF(OR($C$16=0,$L$3=2)," ",$L$16)</f>
        <v xml:space="preserve"> </v>
      </c>
      <c r="E16" s="3" t="str">
        <f>IF(OR($C$16=0,$L$3=2)," ",$M$16+$C$5-$C$8)</f>
        <v xml:space="preserve"> </v>
      </c>
      <c r="F16" s="3" t="str">
        <f>E16</f>
        <v xml:space="preserve"> </v>
      </c>
      <c r="G16" s="3" t="str">
        <f>IF(OR($C$16=0,$L$3=2)," ",$C$17+$C$7+$C$6+$O$16)</f>
        <v xml:space="preserve"> </v>
      </c>
      <c r="H16" s="3" t="str">
        <f>IF(OR($L$3=2,$C$16=0)," ",$P$16)</f>
        <v xml:space="preserve"> </v>
      </c>
      <c r="K16" s="4" t="s">
        <v>113</v>
      </c>
      <c r="L16" s="4">
        <v>51</v>
      </c>
      <c r="M16" s="4">
        <v>14</v>
      </c>
      <c r="N16" s="4">
        <v>14</v>
      </c>
      <c r="O16" s="4">
        <v>38</v>
      </c>
      <c r="P16" s="4">
        <v>37</v>
      </c>
      <c r="Q16" s="9" t="str">
        <f>$G$16</f>
        <v xml:space="preserve"> </v>
      </c>
      <c r="R16" s="8" t="s">
        <v>114</v>
      </c>
      <c r="S16" s="132"/>
      <c r="T16" s="9" t="str">
        <f>$G$16</f>
        <v xml:space="preserve"> </v>
      </c>
      <c r="W16" s="16" t="str">
        <f>$E$17</f>
        <v xml:space="preserve"> </v>
      </c>
    </row>
    <row r="17" spans="2:24" ht="28.5" customHeight="1">
      <c r="B17" s="3" t="s">
        <v>115</v>
      </c>
      <c r="C17" s="104"/>
      <c r="D17" s="3" t="str">
        <f>IF(OR($C$17=0,$L$3=2)," ",$L$17+$C$4-$C$7)</f>
        <v xml:space="preserve"> </v>
      </c>
      <c r="E17" s="3" t="str">
        <f>IF(OR($C$17=0,$L$3=2)," ",$M$17+$C$5-$C$8)</f>
        <v xml:space="preserve"> </v>
      </c>
      <c r="F17" s="3" t="str">
        <f>E17</f>
        <v xml:space="preserve"> </v>
      </c>
      <c r="G17" s="3" t="str">
        <f>IF(OR($C$17=0,$L$3=2)," ",$O$17+$C$4&amp;"*")</f>
        <v xml:space="preserve"> </v>
      </c>
      <c r="H17" s="3" t="str">
        <f>IF(OR($C$17=0,$L$3=2)," ",$P$17)</f>
        <v xml:space="preserve"> </v>
      </c>
      <c r="K17" s="4" t="s">
        <v>115</v>
      </c>
      <c r="L17" s="4">
        <f>52</f>
        <v>52</v>
      </c>
      <c r="M17" s="4">
        <v>14</v>
      </c>
      <c r="N17" s="4">
        <v>14</v>
      </c>
      <c r="O17" s="4">
        <f>39</f>
        <v>39</v>
      </c>
      <c r="P17" s="4">
        <v>37</v>
      </c>
      <c r="Q17" s="9" t="str">
        <f>$G$17</f>
        <v xml:space="preserve"> </v>
      </c>
      <c r="R17" s="7" t="s">
        <v>116</v>
      </c>
      <c r="S17" s="132"/>
      <c r="T17" s="17" t="str">
        <f>IF(OR($C$17=0,$L$3=2)," ",$O$17+$C$4)</f>
        <v xml:space="preserve"> </v>
      </c>
      <c r="W17" s="9" t="s">
        <v>117</v>
      </c>
      <c r="X17" s="5" t="str">
        <f>$D$16</f>
        <v xml:space="preserve"> </v>
      </c>
    </row>
    <row r="18" spans="2:24">
      <c r="W18" s="9" t="s">
        <v>118</v>
      </c>
      <c r="X18" s="5" t="str">
        <f>$D$17</f>
        <v xml:space="preserve"> </v>
      </c>
    </row>
    <row r="19" spans="2:24">
      <c r="B19" s="2" t="s">
        <v>119</v>
      </c>
    </row>
    <row r="20" spans="2:24">
      <c r="B20" s="2" t="s">
        <v>48</v>
      </c>
      <c r="T20" s="11" t="s">
        <v>120</v>
      </c>
    </row>
    <row r="22" spans="2:24">
      <c r="B22" s="21" t="s">
        <v>121</v>
      </c>
    </row>
    <row r="24" spans="2:24">
      <c r="B24" s="2" t="s">
        <v>140</v>
      </c>
    </row>
    <row r="25" spans="2:24">
      <c r="B25" s="2" t="s">
        <v>141</v>
      </c>
    </row>
    <row r="26" spans="2:24">
      <c r="B26" s="2" t="s">
        <v>142</v>
      </c>
    </row>
    <row r="27" spans="2:24">
      <c r="B27" s="2" t="s">
        <v>143</v>
      </c>
    </row>
    <row r="28" spans="2:24">
      <c r="B28" s="2" t="s">
        <v>144</v>
      </c>
    </row>
    <row r="29" spans="2:24">
      <c r="B29" s="2" t="s">
        <v>145</v>
      </c>
    </row>
    <row r="31" spans="2:24">
      <c r="B31" s="2" t="s">
        <v>124</v>
      </c>
    </row>
    <row r="69" spans="1:6" ht="18">
      <c r="A69" s="123"/>
      <c r="B69" s="22" t="s">
        <v>125</v>
      </c>
    </row>
    <row r="70" spans="1:6">
      <c r="A70" s="123"/>
      <c r="F70" s="9" t="s">
        <v>126</v>
      </c>
    </row>
    <row r="71" spans="1:6" ht="8.25" customHeight="1">
      <c r="A71" s="123"/>
    </row>
    <row r="72" spans="1:6">
      <c r="A72" s="123"/>
    </row>
    <row r="73" spans="1:6">
      <c r="A73" s="123"/>
    </row>
    <row r="74" spans="1:6">
      <c r="A74" s="123"/>
      <c r="B74" s="2" t="str">
        <f>G13</f>
        <v xml:space="preserve"> </v>
      </c>
    </row>
    <row r="75" spans="1:6">
      <c r="A75" s="123"/>
    </row>
    <row r="76" spans="1:6" ht="10.5" customHeight="1">
      <c r="A76" s="123"/>
    </row>
    <row r="77" spans="1:6">
      <c r="A77" s="123"/>
      <c r="B77" s="2" t="str">
        <f>G14</f>
        <v xml:space="preserve"> </v>
      </c>
    </row>
    <row r="78" spans="1:6">
      <c r="A78" s="123"/>
    </row>
    <row r="79" spans="1:6" ht="12" customHeight="1">
      <c r="A79" s="123"/>
    </row>
    <row r="80" spans="1:6">
      <c r="A80" s="123"/>
      <c r="B80" s="2" t="str">
        <f>G15</f>
        <v xml:space="preserve"> </v>
      </c>
    </row>
    <row r="81" spans="1:21">
      <c r="A81" s="123"/>
    </row>
    <row r="82" spans="1:21" ht="17.25" customHeight="1">
      <c r="A82" s="123"/>
    </row>
    <row r="83" spans="1:21">
      <c r="A83" s="123"/>
      <c r="B83" s="2" t="str">
        <f>G16</f>
        <v xml:space="preserve"> </v>
      </c>
    </row>
    <row r="84" spans="1:21">
      <c r="A84" s="123"/>
    </row>
    <row r="85" spans="1:21">
      <c r="A85" s="123"/>
    </row>
    <row r="86" spans="1:21" ht="6.75" customHeight="1">
      <c r="A86" s="123"/>
    </row>
    <row r="87" spans="1:21">
      <c r="A87" s="123"/>
      <c r="B87" s="9" t="str">
        <f>G17</f>
        <v xml:space="preserve"> </v>
      </c>
    </row>
    <row r="88" spans="1:21">
      <c r="A88" s="123"/>
    </row>
    <row r="89" spans="1:21">
      <c r="A89" s="123"/>
      <c r="B89" s="2">
        <v>0</v>
      </c>
    </row>
    <row r="90" spans="1:21">
      <c r="A90" s="123"/>
    </row>
    <row r="91" spans="1:21">
      <c r="A91" s="123"/>
    </row>
    <row r="92" spans="1:21">
      <c r="A92" s="123"/>
      <c r="F92" s="9" t="s">
        <v>127</v>
      </c>
      <c r="U92" s="56" t="s">
        <v>128</v>
      </c>
    </row>
    <row r="93" spans="1:21">
      <c r="A93" s="123"/>
    </row>
    <row r="94" spans="1:21">
      <c r="A94" s="123"/>
    </row>
    <row r="95" spans="1:21">
      <c r="A95" s="123"/>
    </row>
    <row r="96" spans="1:21">
      <c r="A96" s="123"/>
    </row>
    <row r="97" spans="1:25">
      <c r="A97" s="123"/>
    </row>
    <row r="98" spans="1:25">
      <c r="A98" s="123"/>
    </row>
    <row r="99" spans="1:25">
      <c r="A99" s="123"/>
    </row>
    <row r="100" spans="1:25">
      <c r="A100" s="123"/>
    </row>
    <row r="101" spans="1:25">
      <c r="A101" s="123"/>
    </row>
    <row r="102" spans="1:25">
      <c r="A102" s="123"/>
      <c r="C102" s="5" t="str">
        <f>D17</f>
        <v xml:space="preserve"> </v>
      </c>
      <c r="H102" s="2" t="str">
        <f>D16</f>
        <v xml:space="preserve"> </v>
      </c>
    </row>
    <row r="103" spans="1:25">
      <c r="A103" s="123"/>
    </row>
    <row r="104" spans="1:25">
      <c r="A104" s="123"/>
    </row>
    <row r="105" spans="1:25">
      <c r="A105" s="123"/>
      <c r="C105" s="2" t="str">
        <f>F17</f>
        <v xml:space="preserve"> </v>
      </c>
      <c r="G105" s="56" t="str">
        <f>E17</f>
        <v xml:space="preserve"> </v>
      </c>
      <c r="J105" s="5" t="str">
        <f>F16</f>
        <v xml:space="preserve"> </v>
      </c>
      <c r="V105" s="114" t="str">
        <f>E16</f>
        <v xml:space="preserve"> </v>
      </c>
    </row>
    <row r="106" spans="1:25">
      <c r="A106" s="123"/>
    </row>
    <row r="107" spans="1:25">
      <c r="A107" s="123"/>
      <c r="C107" s="2" t="s">
        <v>129</v>
      </c>
      <c r="X107" s="125" t="s">
        <v>60</v>
      </c>
      <c r="Y107" s="125"/>
    </row>
    <row r="108" spans="1:25">
      <c r="A108" s="123"/>
    </row>
    <row r="109" spans="1:25">
      <c r="A109" s="123"/>
    </row>
    <row r="110" spans="1:25">
      <c r="A110" s="123"/>
    </row>
    <row r="114" spans="1:2">
      <c r="A114" s="123"/>
    </row>
    <row r="115" spans="1:2" ht="18">
      <c r="A115" s="123"/>
      <c r="B115" s="22" t="s">
        <v>130</v>
      </c>
    </row>
    <row r="116" spans="1:2">
      <c r="A116" s="123"/>
    </row>
    <row r="117" spans="1:2">
      <c r="A117" s="123"/>
    </row>
    <row r="118" spans="1:2">
      <c r="A118" s="123"/>
    </row>
    <row r="119" spans="1:2">
      <c r="A119" s="123"/>
    </row>
    <row r="120" spans="1:2">
      <c r="A120" s="123"/>
    </row>
    <row r="121" spans="1:2">
      <c r="A121" s="123"/>
    </row>
    <row r="122" spans="1:2">
      <c r="A122" s="123"/>
    </row>
    <row r="123" spans="1:2">
      <c r="A123" s="123"/>
    </row>
    <row r="124" spans="1:2">
      <c r="A124" s="123"/>
    </row>
    <row r="125" spans="1:2">
      <c r="A125" s="123"/>
    </row>
    <row r="126" spans="1:2">
      <c r="A126" s="123"/>
    </row>
    <row r="127" spans="1:2">
      <c r="A127" s="123"/>
    </row>
    <row r="128" spans="1:2">
      <c r="A128" s="123"/>
    </row>
    <row r="129" spans="1:25">
      <c r="A129" s="123"/>
    </row>
    <row r="130" spans="1:25">
      <c r="A130" s="123"/>
    </row>
    <row r="131" spans="1:25">
      <c r="A131" s="123"/>
    </row>
    <row r="132" spans="1:25">
      <c r="A132" s="123"/>
    </row>
    <row r="133" spans="1:25">
      <c r="A133" s="123"/>
    </row>
    <row r="134" spans="1:25">
      <c r="A134" s="123"/>
    </row>
    <row r="135" spans="1:25">
      <c r="A135" s="123"/>
    </row>
    <row r="136" spans="1:25">
      <c r="A136" s="123"/>
      <c r="B136" s="2" t="s">
        <v>131</v>
      </c>
    </row>
    <row r="137" spans="1:25">
      <c r="A137" s="123"/>
      <c r="B137" s="2" t="s">
        <v>132</v>
      </c>
    </row>
    <row r="138" spans="1:25">
      <c r="A138" s="123"/>
      <c r="B138" s="2" t="s">
        <v>133</v>
      </c>
    </row>
    <row r="139" spans="1:25">
      <c r="A139" s="123"/>
      <c r="B139" s="2" t="s">
        <v>134</v>
      </c>
      <c r="X139" s="125" t="s">
        <v>60</v>
      </c>
      <c r="Y139" s="125"/>
    </row>
    <row r="140" spans="1:25">
      <c r="A140" s="123"/>
    </row>
    <row r="141" spans="1:25">
      <c r="A141" s="123"/>
    </row>
    <row r="142" spans="1:25">
      <c r="A142" s="123"/>
    </row>
    <row r="143" spans="1:25">
      <c r="A143" s="123"/>
    </row>
    <row r="144" spans="1:25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  <row r="154" spans="1:1">
      <c r="A154" s="123"/>
    </row>
    <row r="155" spans="1:1">
      <c r="A155" s="123"/>
    </row>
  </sheetData>
  <sheetProtection password="CF72" sheet="1" objects="1" scenarios="1"/>
  <mergeCells count="17">
    <mergeCell ref="A114:A155"/>
    <mergeCell ref="A69:A110"/>
    <mergeCell ref="X107:Y107"/>
    <mergeCell ref="V1:W1"/>
    <mergeCell ref="V2:W2"/>
    <mergeCell ref="G11:H11"/>
    <mergeCell ref="D7:H7"/>
    <mergeCell ref="D8:H8"/>
    <mergeCell ref="D4:H4"/>
    <mergeCell ref="D5:H5"/>
    <mergeCell ref="D6:H6"/>
    <mergeCell ref="V3:W3"/>
    <mergeCell ref="X139:Y139"/>
    <mergeCell ref="S13:S17"/>
    <mergeCell ref="B11:B12"/>
    <mergeCell ref="C11:C12"/>
    <mergeCell ref="D11:F11"/>
  </mergeCells>
  <hyperlinks>
    <hyperlink ref="X139:Y139" location="LBX!A1" tooltip="Zpět na plánování" display="Zpět" xr:uid="{00000000-0004-0000-0B00-000000000000}"/>
    <hyperlink ref="V2" location="'HK-XS'!A70" tooltip="Kontrola rozměrů pro zpracování" display="► Rozměry" xr:uid="{00000000-0004-0000-0B00-000001000000}"/>
    <hyperlink ref="V1" location="AVS!A1" tooltip="Úvodní strana AVENTOS" display="Úvod AVENTOS" xr:uid="{00000000-0004-0000-0B00-000002000000}"/>
    <hyperlink ref="V1:W1" location="BOX!A1" tooltip="Úvodní strana AVENTOS" display="► Úvod box systémů" xr:uid="{00000000-0004-0000-0B00-000003000000}"/>
    <hyperlink ref="V2:W2" location="LBX!A115" tooltip="Kontrola rozměrů pro zpracování" display="► Rozměry" xr:uid="{00000000-0004-0000-0B00-000004000000}"/>
    <hyperlink ref="X107:Y107" location="LBX!A1" tooltip="Zpět na plánování" display="Zpět" xr:uid="{00000000-0004-0000-0B00-000005000000}"/>
    <hyperlink ref="V3:W3" location="LBX!A70" tooltip="Přehled rozměrů pro vrtání" display="► Výsledky" xr:uid="{00000000-0004-0000-0B00-000006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749992370372631"/>
  </sheetPr>
  <dimension ref="B1:D19"/>
  <sheetViews>
    <sheetView showGridLines="0" showRowColHeaders="0" workbookViewId="0" xr3:uid="{C67EF94B-0B3B-5838-830C-E3A509766221}">
      <selection activeCell="D15" sqref="D15"/>
    </sheetView>
  </sheetViews>
  <sheetFormatPr defaultRowHeight="14.25"/>
  <cols>
    <col min="1" max="1" width="4.25" customWidth="1"/>
    <col min="2" max="2" width="28" customWidth="1"/>
    <col min="3" max="3" width="30.5" customWidth="1"/>
    <col min="4" max="4" width="16" customWidth="1"/>
  </cols>
  <sheetData>
    <row r="1" spans="2:4" ht="6" customHeight="1"/>
    <row r="2" spans="2:4" ht="24" customHeight="1">
      <c r="B2" s="86" t="s">
        <v>146</v>
      </c>
      <c r="D2" s="58" t="s">
        <v>10</v>
      </c>
    </row>
    <row r="12" spans="2:4" ht="33.75" customHeight="1"/>
    <row r="13" spans="2:4" ht="32.25" customHeight="1">
      <c r="B13" s="118" t="s">
        <v>147</v>
      </c>
      <c r="C13" s="118"/>
    </row>
    <row r="14" spans="2:4" ht="32.25" customHeight="1">
      <c r="B14" s="24" t="s">
        <v>98</v>
      </c>
      <c r="C14" s="24" t="s">
        <v>148</v>
      </c>
    </row>
    <row r="15" spans="2:4">
      <c r="B15" s="23"/>
      <c r="C15" s="23"/>
    </row>
    <row r="17" spans="2:3" ht="44.25" customHeight="1">
      <c r="B17" s="119" t="s">
        <v>7</v>
      </c>
      <c r="C17" s="119"/>
    </row>
    <row r="19" spans="2:3">
      <c r="B19" t="s">
        <v>8</v>
      </c>
    </row>
  </sheetData>
  <sheetProtection password="CF72" sheet="1" objects="1" scenarios="1"/>
  <mergeCells count="2">
    <mergeCell ref="B13:C13"/>
    <mergeCell ref="B17:C17"/>
  </mergeCells>
  <hyperlinks>
    <hyperlink ref="B14" location="ST_TBX!A1" tooltip=" " display="TANDEMBOX antaro / intivo" xr:uid="{00000000-0004-0000-0C00-000000000000}"/>
    <hyperlink ref="C14" location="ST_LBX!A1" tooltip=" " display="LEGRABOX" xr:uid="{00000000-0004-0000-0C00-000001000000}"/>
    <hyperlink ref="D2" location="Uvod!A1" tooltip=" " display="Úvodní strana" xr:uid="{00000000-0004-0000-0C00-000002000000}"/>
  </hyperlinks>
  <pageMargins left="0.51181102362204722" right="0.51181102362204722" top="0.78740157480314965" bottom="0.78740157480314965" header="0.31496062992125984" footer="0.31496062992125984"/>
  <pageSetup paperSize="9" orientation="portrait" verticalDpi="599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499984740745262"/>
  </sheetPr>
  <dimension ref="A1:AB110"/>
  <sheetViews>
    <sheetView showGridLines="0" showRowColHeaders="0" zoomScaleNormal="100" workbookViewId="0" xr3:uid="{274F5AE0-5452-572F-8038-C13FFDA59D49}">
      <selection activeCell="Z15" sqref="Z15"/>
    </sheetView>
  </sheetViews>
  <sheetFormatPr defaultRowHeight="14.25"/>
  <cols>
    <col min="1" max="1" width="1" style="2" customWidth="1"/>
    <col min="2" max="2" width="2.75" style="2" customWidth="1"/>
    <col min="3" max="3" width="7.25" style="2" customWidth="1"/>
    <col min="4" max="4" width="8.125" style="2" customWidth="1"/>
    <col min="5" max="8" width="7.5" style="2" customWidth="1"/>
    <col min="9" max="9" width="9" style="2" customWidth="1"/>
    <col min="10" max="10" width="9" style="2"/>
    <col min="11" max="11" width="0.75" style="2" customWidth="1"/>
    <col min="12" max="12" width="18.5" style="2" customWidth="1"/>
    <col min="13" max="14" width="7.5" style="2" hidden="1" customWidth="1"/>
    <col min="15" max="17" width="9" style="2" hidden="1" customWidth="1"/>
    <col min="18" max="24" width="7.5" style="2" hidden="1" customWidth="1"/>
    <col min="25" max="25" width="1.25" style="2" customWidth="1"/>
    <col min="26" max="26" width="20.25" style="2" customWidth="1"/>
    <col min="27" max="27" width="9.625" style="2" customWidth="1"/>
    <col min="28" max="16384" width="9" style="2"/>
  </cols>
  <sheetData>
    <row r="1" spans="2:27" ht="25.5">
      <c r="C1" s="1" t="s">
        <v>149</v>
      </c>
      <c r="Z1" s="84" t="s">
        <v>150</v>
      </c>
      <c r="AA1" s="26"/>
    </row>
    <row r="2" spans="2:27" ht="20.25">
      <c r="C2" s="25" t="s">
        <v>98</v>
      </c>
      <c r="Z2" s="85" t="s">
        <v>20</v>
      </c>
      <c r="AA2" s="26"/>
    </row>
    <row r="3" spans="2:27" ht="16.5" customHeight="1">
      <c r="C3" s="6"/>
      <c r="D3" s="19" t="s">
        <v>21</v>
      </c>
      <c r="E3" s="20"/>
      <c r="F3" s="20"/>
      <c r="G3" s="20"/>
      <c r="H3" s="20"/>
      <c r="I3" s="20"/>
      <c r="J3" s="20"/>
      <c r="N3" s="9" t="s">
        <v>22</v>
      </c>
      <c r="O3" s="34">
        <f>IF(AND(O4=1, O5=1, O6=1, O7=1, O8=1, O9=1, O10=1, O11=1, O12=1, O13=1),1,2)</f>
        <v>2</v>
      </c>
      <c r="P3" s="35" t="s">
        <v>23</v>
      </c>
    </row>
    <row r="4" spans="2:27" ht="16.5" customHeight="1">
      <c r="C4" s="6"/>
      <c r="D4" s="104"/>
      <c r="E4" s="133" t="s">
        <v>24</v>
      </c>
      <c r="F4" s="134"/>
      <c r="G4" s="134"/>
      <c r="H4" s="134"/>
      <c r="I4" s="134"/>
      <c r="J4" s="135"/>
      <c r="L4" s="13" t="str">
        <f>IF(D4&lt;X13, "Minimálně "&amp;X13&amp;" mm!", IF(D4&gt;2500, "Maximálně 2500 mm!", " "))</f>
        <v>Minimálně 1429 mm!</v>
      </c>
      <c r="O4" s="115">
        <f>IF(OR(D4&lt;$X$13, D4&gt;2500), 2, 1)</f>
        <v>2</v>
      </c>
      <c r="P4" s="35" t="s">
        <v>25</v>
      </c>
    </row>
    <row r="5" spans="2:27" ht="16.5" customHeight="1">
      <c r="C5" s="6"/>
      <c r="D5" s="104"/>
      <c r="E5" s="133" t="s">
        <v>151</v>
      </c>
      <c r="F5" s="134"/>
      <c r="G5" s="134"/>
      <c r="H5" s="134"/>
      <c r="I5" s="134"/>
      <c r="J5" s="135"/>
      <c r="L5" s="13" t="str">
        <f>IF(D5&lt;300, "Minimálně 300 mm!", IF(D5&gt;1200, "Maximálně 1200 mm!", " "))</f>
        <v>Minimálně 300 mm!</v>
      </c>
      <c r="O5" s="115">
        <f>IF(OR(D5&lt;250, D5&gt;1200), 2, 1)</f>
        <v>2</v>
      </c>
    </row>
    <row r="6" spans="2:27" ht="16.5" customHeight="1">
      <c r="C6" s="6"/>
      <c r="D6" s="102"/>
      <c r="E6" s="133" t="s">
        <v>26</v>
      </c>
      <c r="F6" s="134"/>
      <c r="G6" s="134"/>
      <c r="H6" s="134"/>
      <c r="I6" s="134"/>
      <c r="J6" s="135"/>
      <c r="L6" s="13" t="str">
        <f>IF(D6&gt;20,"Maximálně 20 mm!",IF(D6&lt;16,"Minimálně 16 mm!", " "))</f>
        <v>Minimálně 16 mm!</v>
      </c>
      <c r="O6" s="115">
        <f>IF(OR(D6&lt;16, D6&gt;20),2, 1)</f>
        <v>2</v>
      </c>
    </row>
    <row r="7" spans="2:27" ht="16.5" customHeight="1">
      <c r="C7" s="6"/>
      <c r="D7" s="102"/>
      <c r="E7" s="133" t="s">
        <v>27</v>
      </c>
      <c r="F7" s="134"/>
      <c r="G7" s="134"/>
      <c r="H7" s="134"/>
      <c r="I7" s="134"/>
      <c r="J7" s="135"/>
      <c r="L7" s="13" t="str">
        <f>IF(D7&lt;16,"Minimálně 16 mm!"," ")</f>
        <v>Minimálně 16 mm!</v>
      </c>
      <c r="O7" s="115">
        <f>IF(D7&lt;16, 2, 1)</f>
        <v>2</v>
      </c>
    </row>
    <row r="8" spans="2:27" ht="16.5" customHeight="1">
      <c r="C8" s="6"/>
      <c r="D8" s="102"/>
      <c r="E8" s="133" t="s">
        <v>28</v>
      </c>
      <c r="F8" s="134"/>
      <c r="G8" s="134"/>
      <c r="H8" s="134"/>
      <c r="I8" s="134"/>
      <c r="J8" s="135"/>
      <c r="L8" s="13" t="str">
        <f>IF(D8&gt;$D$6,"Maximálně "&amp;$D$6&amp;" mm!"," ")</f>
        <v xml:space="preserve"> </v>
      </c>
      <c r="O8" s="115">
        <f>IF(D8&gt;$D$6, 2, 1)</f>
        <v>1</v>
      </c>
    </row>
    <row r="9" spans="2:27" ht="16.5" customHeight="1">
      <c r="C9" s="6"/>
      <c r="D9" s="102"/>
      <c r="E9" s="133" t="s">
        <v>103</v>
      </c>
      <c r="F9" s="134"/>
      <c r="G9" s="134"/>
      <c r="H9" s="134"/>
      <c r="I9" s="134"/>
      <c r="J9" s="135"/>
      <c r="L9" s="13" t="str">
        <f>IF(D9&gt;$D$6,"Maximálně "&amp;$D$6&amp;" mm!"," ")</f>
        <v xml:space="preserve"> </v>
      </c>
      <c r="O9" s="115">
        <f>IF(D9&gt;$D$6, 2, 1)</f>
        <v>1</v>
      </c>
    </row>
    <row r="10" spans="2:27" ht="16.5" customHeight="1">
      <c r="C10" s="6"/>
      <c r="D10" s="102"/>
      <c r="E10" s="133" t="s">
        <v>152</v>
      </c>
      <c r="F10" s="134"/>
      <c r="G10" s="134"/>
      <c r="H10" s="134"/>
      <c r="I10" s="134"/>
      <c r="J10" s="135"/>
      <c r="L10" s="13" t="str">
        <f>IF($D$7&gt;15.999, IF(D10&lt;&gt;($D$7-16), "Musí být "&amp;($D$7-16)&amp;" mm! ***", " "), " ")</f>
        <v xml:space="preserve"> </v>
      </c>
      <c r="O10" s="115">
        <f>IF(D10=($D$7-16), 1, 2)</f>
        <v>2</v>
      </c>
    </row>
    <row r="11" spans="2:27" ht="16.5" customHeight="1">
      <c r="C11" s="6"/>
      <c r="D11" s="104"/>
      <c r="E11" s="133" t="s">
        <v>153</v>
      </c>
      <c r="F11" s="134"/>
      <c r="G11" s="134"/>
      <c r="H11" s="134"/>
      <c r="I11" s="134"/>
      <c r="J11" s="135"/>
      <c r="L11" s="13" t="str">
        <f>IF(OR($D$11=3, $D$11=4), " ", "Musí být 3 nebo 4!")</f>
        <v>Musí být 3 nebo 4!</v>
      </c>
      <c r="O11" s="115">
        <f>IF(OR(D11=3, D11=4), 1, 2)</f>
        <v>2</v>
      </c>
    </row>
    <row r="12" spans="2:27" ht="16.5" customHeight="1" thickBot="1">
      <c r="C12" s="6"/>
      <c r="D12" s="21" t="str">
        <f>IF(SUM(O4:O11)&gt;8, "Vyplňte správně všechny parametry!"," ")</f>
        <v>Vyplňte správně všechny parametry!</v>
      </c>
      <c r="E12" s="5"/>
      <c r="F12" s="5"/>
      <c r="G12" s="5"/>
      <c r="H12" s="5"/>
      <c r="I12" s="5"/>
      <c r="J12" s="5"/>
      <c r="N12" s="9" t="s">
        <v>154</v>
      </c>
      <c r="O12" s="115">
        <f>IF(OR(D18&lt;Q18, D19&lt;Q19, D20&lt;Q20, D21&lt;Q21, D22&lt;Q22), 2, 1)</f>
        <v>2</v>
      </c>
    </row>
    <row r="13" spans="2:27" ht="13.5" customHeight="1" thickBot="1">
      <c r="N13" s="9" t="s">
        <v>155</v>
      </c>
      <c r="O13" s="115">
        <f>IF($D$4&lt;$X$13, 2, 1)</f>
        <v>2</v>
      </c>
      <c r="Q13" s="9"/>
      <c r="R13" s="37" t="s">
        <v>156</v>
      </c>
      <c r="S13" s="3">
        <f>SUM(M17:M22, 10)</f>
        <v>1429</v>
      </c>
      <c r="T13" s="37" t="s">
        <v>157</v>
      </c>
      <c r="U13" s="3">
        <f>SUM(N17:N22, 10)</f>
        <v>1512</v>
      </c>
      <c r="V13" s="37" t="s">
        <v>158</v>
      </c>
      <c r="W13" s="82">
        <f>SUM($V$17, 260)</f>
        <v>404</v>
      </c>
      <c r="X13" s="83">
        <f>IF(AND(D11&lt;&gt;4, S13&gt;W13), S13, IF(AND(D11=4, U13&gt;W13), U13, W13))</f>
        <v>1429</v>
      </c>
    </row>
    <row r="14" spans="2:27" ht="17.25" customHeight="1">
      <c r="B14" s="141" t="s">
        <v>159</v>
      </c>
      <c r="C14" s="140" t="s">
        <v>160</v>
      </c>
      <c r="D14" s="140" t="s">
        <v>161</v>
      </c>
      <c r="E14" s="145" t="s">
        <v>162</v>
      </c>
      <c r="F14" s="146"/>
      <c r="G14" s="146"/>
      <c r="H14" s="147"/>
      <c r="I14" s="136" t="s">
        <v>163</v>
      </c>
      <c r="J14" s="137"/>
      <c r="O14" s="79"/>
      <c r="P14" s="79"/>
      <c r="Q14" s="79"/>
      <c r="R14" s="79"/>
      <c r="S14" s="79"/>
      <c r="T14" s="79"/>
    </row>
    <row r="15" spans="2:27" ht="17.25" customHeight="1">
      <c r="B15" s="141"/>
      <c r="C15" s="140"/>
      <c r="D15" s="140"/>
      <c r="E15" s="140" t="s">
        <v>164</v>
      </c>
      <c r="F15" s="140"/>
      <c r="G15" s="146" t="s">
        <v>165</v>
      </c>
      <c r="H15" s="147"/>
      <c r="I15" s="138"/>
      <c r="J15" s="139"/>
      <c r="M15" s="106" t="s">
        <v>166</v>
      </c>
      <c r="N15" s="107"/>
      <c r="O15" s="109" t="s">
        <v>167</v>
      </c>
      <c r="Q15" s="107"/>
      <c r="R15" s="110" t="s">
        <v>168</v>
      </c>
      <c r="S15" s="110"/>
      <c r="T15" s="110" t="s">
        <v>169</v>
      </c>
      <c r="U15" s="110"/>
      <c r="V15" s="111" t="s">
        <v>170</v>
      </c>
      <c r="W15" s="112"/>
      <c r="X15" s="113"/>
    </row>
    <row r="16" spans="2:27" ht="15" customHeight="1">
      <c r="B16" s="141"/>
      <c r="C16" s="140"/>
      <c r="D16" s="140"/>
      <c r="E16" s="116" t="s">
        <v>171</v>
      </c>
      <c r="F16" s="116" t="s">
        <v>172</v>
      </c>
      <c r="G16" s="116" t="s">
        <v>171</v>
      </c>
      <c r="H16" s="116" t="s">
        <v>172</v>
      </c>
      <c r="I16" s="116" t="s">
        <v>107</v>
      </c>
      <c r="J16" s="116" t="s">
        <v>41</v>
      </c>
      <c r="M16" s="14" t="s">
        <v>173</v>
      </c>
      <c r="N16" s="75" t="s">
        <v>174</v>
      </c>
      <c r="O16" s="76" t="s">
        <v>173</v>
      </c>
      <c r="P16" s="75" t="s">
        <v>174</v>
      </c>
      <c r="Q16" s="77" t="s">
        <v>175</v>
      </c>
      <c r="R16" s="78" t="s">
        <v>171</v>
      </c>
      <c r="S16" s="78" t="s">
        <v>172</v>
      </c>
      <c r="T16" s="78" t="s">
        <v>171</v>
      </c>
      <c r="U16" s="78" t="s">
        <v>172</v>
      </c>
      <c r="V16" s="78" t="s">
        <v>107</v>
      </c>
      <c r="W16" s="78" t="s">
        <v>41</v>
      </c>
      <c r="X16" s="78" t="s">
        <v>176</v>
      </c>
      <c r="Y16" s="63"/>
    </row>
    <row r="17" spans="2:28" ht="24" customHeight="1">
      <c r="B17" s="142" t="s">
        <v>177</v>
      </c>
      <c r="C17" s="143"/>
      <c r="D17" s="144"/>
      <c r="E17" s="3" t="str">
        <f>IF(OR($D$18=0, $O$3=2, $D$11&lt;&gt;3)," ", R17)</f>
        <v xml:space="preserve"> </v>
      </c>
      <c r="F17" s="3" t="str">
        <f>IF(OR($D18=0,$O$3=2, $D$11&lt;&gt;3)," ", S17)</f>
        <v xml:space="preserve"> </v>
      </c>
      <c r="G17" s="3" t="str">
        <f>IF(OR($D18=0, $O$3=2, $D$11&lt;&gt;4)," ", T17)</f>
        <v xml:space="preserve"> </v>
      </c>
      <c r="H17" s="3" t="str">
        <f>IF(OR($D18=0,$O$3=2, $D$11&lt;&gt;4)," ", U17)</f>
        <v xml:space="preserve"> </v>
      </c>
      <c r="I17" s="3" t="str">
        <f>IF(OR($D18=0,$O$3=2)," ",$V17)</f>
        <v xml:space="preserve"> </v>
      </c>
      <c r="J17" s="3" t="str">
        <f>IF(OR($O$3=2,$D$18=0)," ",$W$17)</f>
        <v xml:space="preserve"> </v>
      </c>
      <c r="M17" s="80">
        <v>260</v>
      </c>
      <c r="N17" s="81">
        <v>260</v>
      </c>
      <c r="O17" s="80">
        <f>SUM(M17, -$D$6, -9)</f>
        <v>251</v>
      </c>
      <c r="P17" s="81">
        <f>SUM(N17, -$D$6, -9)</f>
        <v>251</v>
      </c>
      <c r="Q17" s="74">
        <f t="shared" ref="Q17:Q22" si="0">IF($D$11=3, O17, P17)</f>
        <v>251</v>
      </c>
      <c r="R17" s="36">
        <f>SUM($D$4, -80)</f>
        <v>-80</v>
      </c>
      <c r="S17" s="41">
        <f>R17-$D$9</f>
        <v>-80</v>
      </c>
      <c r="T17" s="36">
        <f>SUM($D$4, -80)</f>
        <v>-80</v>
      </c>
      <c r="U17" s="41">
        <f>T17-$D$9</f>
        <v>-80</v>
      </c>
      <c r="V17" s="36">
        <f>SUM($V$18, $D$18, -38, 40, 9)</f>
        <v>144</v>
      </c>
      <c r="W17" s="36">
        <v>37</v>
      </c>
      <c r="X17" s="79"/>
      <c r="Y17" s="63"/>
    </row>
    <row r="18" spans="2:28" ht="24" customHeight="1">
      <c r="B18" s="98">
        <v>5</v>
      </c>
      <c r="C18" s="64">
        <v>245</v>
      </c>
      <c r="D18" s="104"/>
      <c r="E18" s="3" t="str">
        <f>IF(OR($D18=0, $O$3=2, $D$11&lt;&gt;3)," ", R18)</f>
        <v xml:space="preserve"> </v>
      </c>
      <c r="F18" s="3" t="str">
        <f>IF(OR($D18=0,$O$3=2, $D$11&lt;&gt;3)," ", S18)</f>
        <v xml:space="preserve"> </v>
      </c>
      <c r="G18" s="3" t="str">
        <f>IF(OR($D18=0, $O$3=2, $D$11&lt;&gt;4)," ", T18)</f>
        <v xml:space="preserve"> </v>
      </c>
      <c r="H18" s="3" t="str">
        <f>IF(OR($D18=0,$O$3=2, $D$11&lt;&gt;4)," ", U18)</f>
        <v xml:space="preserve"> </v>
      </c>
      <c r="I18" s="3" t="str">
        <f>IF(OR($D19=0,$O$3=2)," ",$V18)</f>
        <v xml:space="preserve"> </v>
      </c>
      <c r="J18" s="3" t="str">
        <f>IF(OR($O$3=2,$D$18=0)," ",$W$18)</f>
        <v xml:space="preserve"> </v>
      </c>
      <c r="L18" s="51" t="str">
        <f>IF($D18&lt;$Q18, "Min. "&amp;$Q18&amp;"!", " ")</f>
        <v>Min. 177!</v>
      </c>
      <c r="M18" s="68">
        <f>SUM(99, 20)</f>
        <v>119</v>
      </c>
      <c r="N18" s="69">
        <f>SUM(99, 33, 70)</f>
        <v>202</v>
      </c>
      <c r="O18" s="70">
        <f t="shared" ref="O18:P21" si="1">SUM(M18, -25)</f>
        <v>94</v>
      </c>
      <c r="P18" s="71">
        <f t="shared" si="1"/>
        <v>177</v>
      </c>
      <c r="Q18" s="74">
        <f t="shared" si="0"/>
        <v>177</v>
      </c>
      <c r="R18" s="4" t="s">
        <v>178</v>
      </c>
      <c r="S18" s="41" t="s">
        <v>178</v>
      </c>
      <c r="T18" s="4">
        <f>V18+112</f>
        <v>245</v>
      </c>
      <c r="U18" s="41">
        <f>T18-$D$9</f>
        <v>245</v>
      </c>
      <c r="V18" s="4">
        <f>SUM($V$19, $D$19, 25)</f>
        <v>133</v>
      </c>
      <c r="W18" s="4">
        <v>37</v>
      </c>
      <c r="X18" s="4">
        <v>33</v>
      </c>
      <c r="Y18" s="66"/>
      <c r="Z18" s="9"/>
      <c r="AA18" s="115"/>
    </row>
    <row r="19" spans="2:28" ht="24" customHeight="1">
      <c r="B19" s="98">
        <v>4</v>
      </c>
      <c r="C19" s="64">
        <v>235</v>
      </c>
      <c r="D19" s="104"/>
      <c r="E19" s="3" t="str">
        <f>IF(OR($D19=0, $O$3=2, $D$11&lt;&gt;3)," ", R19)</f>
        <v xml:space="preserve"> </v>
      </c>
      <c r="F19" s="3" t="str">
        <f>IF(OR($D19=0,$O$3=2, $D$11&lt;&gt;3)," ", S19)</f>
        <v xml:space="preserve"> </v>
      </c>
      <c r="G19" s="3" t="str">
        <f>IF(OR($D19=0, $O$3=2, $D$11&lt;&gt;4)," ", T19)</f>
        <v xml:space="preserve"> </v>
      </c>
      <c r="H19" s="3" t="str">
        <f>IF(OR($D19=0,$O$3=2, $D$11&lt;&gt;4)," ", U19)</f>
        <v xml:space="preserve"> </v>
      </c>
      <c r="I19" s="3" t="str">
        <f>IF(OR($D20=0,$O$3=2)," ",$V19)</f>
        <v xml:space="preserve"> </v>
      </c>
      <c r="J19" s="3" t="str">
        <f>IF(OR($O$3=2,$D$19=0)," ",$W$19)</f>
        <v xml:space="preserve"> </v>
      </c>
      <c r="L19" s="51" t="str">
        <f>IF($D19&lt;$Q19, "Min. "&amp;$Q19&amp;"!", " ")</f>
        <v>Min. 202!</v>
      </c>
      <c r="M19" s="68">
        <v>227</v>
      </c>
      <c r="N19" s="69">
        <v>227</v>
      </c>
      <c r="O19" s="72">
        <f t="shared" si="1"/>
        <v>202</v>
      </c>
      <c r="P19" s="73">
        <f t="shared" si="1"/>
        <v>202</v>
      </c>
      <c r="Q19" s="74">
        <f t="shared" si="0"/>
        <v>202</v>
      </c>
      <c r="R19" s="4" t="s">
        <v>178</v>
      </c>
      <c r="S19" s="41" t="s">
        <v>178</v>
      </c>
      <c r="T19" s="4" t="s">
        <v>178</v>
      </c>
      <c r="U19" s="41" t="s">
        <v>178</v>
      </c>
      <c r="V19" s="4">
        <f>SUM($V$20, $D$20, 25)</f>
        <v>108</v>
      </c>
      <c r="W19" s="4">
        <v>37</v>
      </c>
      <c r="X19" s="4">
        <v>33</v>
      </c>
      <c r="Y19" s="67"/>
      <c r="Z19" s="9"/>
    </row>
    <row r="20" spans="2:28" ht="24" customHeight="1">
      <c r="B20" s="98">
        <v>3</v>
      </c>
      <c r="C20" s="64">
        <v>327</v>
      </c>
      <c r="D20" s="104"/>
      <c r="E20" s="3" t="str">
        <f>IF(OR($D20=0, $O$3=2, $D$11&lt;&gt;3)," ", R20)</f>
        <v xml:space="preserve"> </v>
      </c>
      <c r="F20" s="3" t="str">
        <f>IF(OR($D20=0,$O$3=2, $D$11&lt;&gt;3)," ", S20)</f>
        <v xml:space="preserve"> </v>
      </c>
      <c r="G20" s="3" t="str">
        <f>IF(OR($D20=0, $O$3=2, $D$11&lt;&gt;4)," ", T20)</f>
        <v xml:space="preserve"> </v>
      </c>
      <c r="H20" s="3" t="str">
        <f>IF(OR($D20=0,$O$3=2, $D$11&lt;&gt;4)," ", U20)</f>
        <v xml:space="preserve"> </v>
      </c>
      <c r="I20" s="3" t="str">
        <f>IF(OR($D21=0,$O$3=2)," ",$V20)</f>
        <v xml:space="preserve"> </v>
      </c>
      <c r="J20" s="3" t="str">
        <f>IF(OR($O$3=2,$D$20=0)," ",$W$20)</f>
        <v xml:space="preserve"> </v>
      </c>
      <c r="L20" s="51" t="str">
        <f>IF($D20&lt;$Q20, "Min. "&amp;$Q20&amp;"!", " ")</f>
        <v>Min. 268!</v>
      </c>
      <c r="M20" s="68">
        <f>SUM(227, 66)</f>
        <v>293</v>
      </c>
      <c r="N20" s="69">
        <v>293</v>
      </c>
      <c r="O20" s="72">
        <f t="shared" si="1"/>
        <v>268</v>
      </c>
      <c r="P20" s="73">
        <f t="shared" si="1"/>
        <v>268</v>
      </c>
      <c r="Q20" s="74">
        <f t="shared" si="0"/>
        <v>268</v>
      </c>
      <c r="R20" s="4">
        <f>SUM($V$19, -33, -50)</f>
        <v>25</v>
      </c>
      <c r="S20" s="41">
        <f>R20-$D$9</f>
        <v>25</v>
      </c>
      <c r="T20" s="4">
        <f>SUM($V$19, -33, -50)</f>
        <v>25</v>
      </c>
      <c r="U20" s="41">
        <f>T20-$D$9</f>
        <v>25</v>
      </c>
      <c r="V20" s="4">
        <f>SUM($V$21, $D$21, 25)</f>
        <v>83</v>
      </c>
      <c r="W20" s="4">
        <v>37</v>
      </c>
      <c r="X20" s="4">
        <v>33</v>
      </c>
      <c r="Y20" s="67"/>
      <c r="Z20" s="116" t="s">
        <v>179</v>
      </c>
      <c r="AA20" s="16"/>
    </row>
    <row r="21" spans="2:28" ht="24" customHeight="1">
      <c r="B21" s="98">
        <v>2</v>
      </c>
      <c r="C21" s="64">
        <v>295</v>
      </c>
      <c r="D21" s="104"/>
      <c r="E21" s="3" t="str">
        <f>IF(OR($D21=0, $O$3=2, $D$11&lt;&gt;3)," ", R21)</f>
        <v xml:space="preserve"> </v>
      </c>
      <c r="F21" s="3" t="str">
        <f>IF(OR($D21=0,$O$3=2, $D$11&lt;&gt;3)," ", S21)</f>
        <v xml:space="preserve"> </v>
      </c>
      <c r="G21" s="3" t="str">
        <f>IF(OR($D21=0, $O$3=2, $D$11&lt;&gt;4)," ", T21)</f>
        <v xml:space="preserve"> </v>
      </c>
      <c r="H21" s="3" t="str">
        <f>IF(OR($D21=0,$O$3=2, $D$11&lt;&gt;4)," ", U21)</f>
        <v xml:space="preserve"> </v>
      </c>
      <c r="I21" s="3" t="str">
        <f>IF(OR($D22=0,$O$3=2)," ",$V21)</f>
        <v xml:space="preserve"> </v>
      </c>
      <c r="J21" s="3" t="str">
        <f>IF(OR($D$22=0,$O$3=2)," ",W21)</f>
        <v xml:space="preserve"> </v>
      </c>
      <c r="L21" s="51" t="str">
        <f>IF($D21&lt;$Q21, "Min. "&amp;$Q21&amp;"!", " ")</f>
        <v>Min. 202!</v>
      </c>
      <c r="M21" s="68">
        <v>227</v>
      </c>
      <c r="N21" s="69">
        <v>227</v>
      </c>
      <c r="O21" s="72">
        <f t="shared" si="1"/>
        <v>202</v>
      </c>
      <c r="P21" s="73">
        <f t="shared" si="1"/>
        <v>202</v>
      </c>
      <c r="Q21" s="74">
        <f t="shared" si="0"/>
        <v>202</v>
      </c>
      <c r="R21" s="4" t="s">
        <v>178</v>
      </c>
      <c r="S21" s="41" t="s">
        <v>178</v>
      </c>
      <c r="T21" s="4" t="s">
        <v>178</v>
      </c>
      <c r="U21" s="41" t="s">
        <v>178</v>
      </c>
      <c r="V21" s="4">
        <f>SUM($V$22, $D$22, 25)</f>
        <v>58</v>
      </c>
      <c r="W21" s="4">
        <v>37</v>
      </c>
      <c r="X21" s="4">
        <v>33</v>
      </c>
      <c r="Y21" s="67"/>
      <c r="Z21" s="96" t="str">
        <f>"přední reling: "&amp;$R$26&amp;" mm "</f>
        <v xml:space="preserve">přední reling: -122 mm </v>
      </c>
      <c r="AA21" s="16"/>
    </row>
    <row r="22" spans="2:28" ht="24" customHeight="1">
      <c r="B22" s="99" t="s">
        <v>115</v>
      </c>
      <c r="C22" s="64">
        <v>360</v>
      </c>
      <c r="D22" s="104"/>
      <c r="E22" s="3" t="str">
        <f>IF(OR($D22=0, $O$3=2, $D$11&lt;&gt;3)," ", R22)</f>
        <v xml:space="preserve"> </v>
      </c>
      <c r="F22" s="3" t="str">
        <f>IF(OR($D22=0,$O$3=2, $D$11&lt;&gt;3)," ", S22)</f>
        <v xml:space="preserve"> </v>
      </c>
      <c r="G22" s="3" t="str">
        <f>IF(OR($D22=0, $O$3=2, $D$11&lt;&gt;4)," ", T22)</f>
        <v xml:space="preserve"> </v>
      </c>
      <c r="H22" s="3" t="str">
        <f>IF(OR($D22=0,$O$3=2, $D$11&lt;&gt;4)," ", U22)</f>
        <v xml:space="preserve"> </v>
      </c>
      <c r="I22" s="3" t="str">
        <f>IF(OR($D$22=0,$O$3=2)," ",$V$22)</f>
        <v xml:space="preserve"> </v>
      </c>
      <c r="J22" s="3" t="str">
        <f>IF(OR($D$22=0,$O$3=2)," ",W22)</f>
        <v xml:space="preserve"> </v>
      </c>
      <c r="L22" s="51" t="str">
        <f>IF($D22&lt;$Q22, "Min. "&amp;$Q22&amp;"!", " ")</f>
        <v>Min. 268!</v>
      </c>
      <c r="M22" s="68">
        <f>SUM(227, $D$6, 66)</f>
        <v>293</v>
      </c>
      <c r="N22" s="69">
        <f>SUM(227, $D$6, 66)</f>
        <v>293</v>
      </c>
      <c r="O22" s="72">
        <f>SUM(M22, -25, -$D$6)</f>
        <v>268</v>
      </c>
      <c r="P22" s="73">
        <f>SUM(N22, -25, -$D$6)</f>
        <v>268</v>
      </c>
      <c r="Q22" s="74">
        <f t="shared" si="0"/>
        <v>268</v>
      </c>
      <c r="R22" s="4">
        <v>280</v>
      </c>
      <c r="S22" s="41">
        <f>R22-$D$9</f>
        <v>280</v>
      </c>
      <c r="T22" s="4">
        <v>280</v>
      </c>
      <c r="U22" s="41">
        <f>T22-$D$9</f>
        <v>280</v>
      </c>
      <c r="V22" s="4">
        <f>SUM($X22, $D$6)</f>
        <v>33</v>
      </c>
      <c r="W22" s="4">
        <v>37</v>
      </c>
      <c r="X22" s="4">
        <v>33</v>
      </c>
      <c r="Y22" s="67"/>
      <c r="Z22" s="96" t="str">
        <f>"čelní profil: "&amp;$R$25&amp;" mm "</f>
        <v xml:space="preserve">čelní profil: -132 mm </v>
      </c>
      <c r="AA22" s="9"/>
      <c r="AB22" s="5"/>
    </row>
    <row r="23" spans="2:28" ht="12.75" customHeight="1"/>
    <row r="24" spans="2:28">
      <c r="C24" s="2" t="s">
        <v>180</v>
      </c>
    </row>
    <row r="25" spans="2:28">
      <c r="C25" s="2" t="s">
        <v>48</v>
      </c>
      <c r="P25" s="2" t="s">
        <v>181</v>
      </c>
      <c r="Q25" s="9" t="s">
        <v>182</v>
      </c>
      <c r="R25" s="2">
        <f>$D$5-$D$7*2-132</f>
        <v>-132</v>
      </c>
      <c r="X25" s="11"/>
    </row>
    <row r="26" spans="2:28" ht="12" customHeight="1">
      <c r="Q26" s="9" t="s">
        <v>183</v>
      </c>
      <c r="R26" s="2">
        <f>$D$5-$D$7*2-122</f>
        <v>-122</v>
      </c>
    </row>
    <row r="27" spans="2:28">
      <c r="C27" s="21" t="str">
        <f>IF($O$13=2, "          Rozmístění výsuvů neodpovídá výšce korpusu! Upravte úložné výšky nebo výšku korpusu.", " ")</f>
        <v xml:space="preserve">          Rozmístění výsuvů neodpovídá výšce korpusu! Upravte úložné výšky nebo výšku korpusu.</v>
      </c>
    </row>
    <row r="28" spans="2:28" ht="12" customHeight="1"/>
    <row r="29" spans="2:28">
      <c r="C29" s="2" t="s">
        <v>184</v>
      </c>
    </row>
    <row r="30" spans="2:28">
      <c r="C30" s="2" t="s">
        <v>185</v>
      </c>
    </row>
    <row r="32" spans="2:28">
      <c r="C32" s="2" t="s">
        <v>186</v>
      </c>
    </row>
    <row r="67" spans="1:12" ht="18">
      <c r="A67" s="123"/>
      <c r="C67" s="22" t="s">
        <v>187</v>
      </c>
    </row>
    <row r="68" spans="1:12">
      <c r="A68" s="123"/>
      <c r="L68" s="9"/>
    </row>
    <row r="69" spans="1:12">
      <c r="A69" s="123"/>
      <c r="L69" s="9"/>
    </row>
    <row r="70" spans="1:12">
      <c r="A70" s="123"/>
      <c r="I70" s="9">
        <f>T17</f>
        <v>-80</v>
      </c>
      <c r="L70" s="9">
        <f>U17</f>
        <v>-80</v>
      </c>
    </row>
    <row r="71" spans="1:12">
      <c r="A71" s="123"/>
      <c r="I71" s="9"/>
    </row>
    <row r="72" spans="1:12">
      <c r="A72" s="123"/>
      <c r="I72" s="9"/>
      <c r="L72" s="9"/>
    </row>
    <row r="73" spans="1:12" ht="12.75" customHeight="1">
      <c r="A73" s="123"/>
      <c r="I73" s="9"/>
      <c r="L73" s="9"/>
    </row>
    <row r="74" spans="1:12">
      <c r="A74" s="123"/>
      <c r="B74" s="115"/>
      <c r="F74" s="2">
        <f>V17</f>
        <v>144</v>
      </c>
      <c r="I74" s="9"/>
      <c r="L74" s="9"/>
    </row>
    <row r="75" spans="1:12" ht="15.75" customHeight="1">
      <c r="A75" s="123"/>
      <c r="B75" s="115"/>
      <c r="I75" s="37" t="str">
        <f>G18</f>
        <v xml:space="preserve"> </v>
      </c>
      <c r="L75" s="9" t="str">
        <f>H18</f>
        <v xml:space="preserve"> </v>
      </c>
    </row>
    <row r="76" spans="1:12">
      <c r="A76" s="123"/>
      <c r="B76" s="115"/>
      <c r="I76" s="9"/>
      <c r="L76" s="9"/>
    </row>
    <row r="77" spans="1:12" ht="17.25" customHeight="1">
      <c r="A77" s="123"/>
      <c r="B77" s="115"/>
      <c r="F77" s="2" t="str">
        <f>I18</f>
        <v xml:space="preserve"> </v>
      </c>
      <c r="I77" s="9"/>
      <c r="L77" s="9"/>
    </row>
    <row r="78" spans="1:12">
      <c r="A78" s="123"/>
      <c r="B78" s="115"/>
      <c r="I78" s="9"/>
      <c r="L78" s="9"/>
    </row>
    <row r="79" spans="1:12">
      <c r="A79" s="123"/>
      <c r="B79" s="115"/>
      <c r="I79" s="9"/>
      <c r="L79" s="9"/>
    </row>
    <row r="80" spans="1:12">
      <c r="A80" s="123"/>
      <c r="B80" s="115"/>
      <c r="I80" s="9"/>
      <c r="L80" s="9"/>
    </row>
    <row r="81" spans="1:25" ht="20.25" customHeight="1">
      <c r="A81" s="123"/>
      <c r="B81" s="115"/>
      <c r="I81" s="9"/>
      <c r="L81" s="9"/>
    </row>
    <row r="82" spans="1:25">
      <c r="A82" s="123"/>
      <c r="B82" s="115"/>
      <c r="F82" s="2" t="str">
        <f>I19</f>
        <v xml:space="preserve"> </v>
      </c>
      <c r="I82" s="9"/>
      <c r="L82" s="9"/>
    </row>
    <row r="83" spans="1:25" ht="20.25" customHeight="1">
      <c r="A83" s="123"/>
      <c r="B83" s="115"/>
      <c r="I83" s="9">
        <f>T20</f>
        <v>25</v>
      </c>
      <c r="L83" s="9">
        <f>U20</f>
        <v>25</v>
      </c>
    </row>
    <row r="84" spans="1:25">
      <c r="A84" s="123"/>
      <c r="B84" s="115"/>
      <c r="I84" s="9"/>
      <c r="L84" s="9"/>
    </row>
    <row r="85" spans="1:25">
      <c r="A85" s="123"/>
      <c r="B85" s="115"/>
      <c r="I85" s="9"/>
      <c r="L85" s="9"/>
    </row>
    <row r="86" spans="1:25">
      <c r="A86" s="123"/>
      <c r="B86" s="115"/>
      <c r="I86" s="9"/>
      <c r="L86" s="9"/>
    </row>
    <row r="87" spans="1:25" ht="19.5" customHeight="1">
      <c r="A87" s="123"/>
      <c r="B87" s="115"/>
      <c r="I87" s="9"/>
      <c r="L87" s="9"/>
    </row>
    <row r="88" spans="1:25">
      <c r="A88" s="123"/>
      <c r="B88" s="115"/>
      <c r="F88" s="2" t="str">
        <f>I20</f>
        <v xml:space="preserve"> </v>
      </c>
      <c r="I88" s="9"/>
      <c r="L88" s="9"/>
    </row>
    <row r="89" spans="1:25">
      <c r="A89" s="123"/>
      <c r="B89" s="115"/>
      <c r="I89" s="9"/>
      <c r="L89" s="9"/>
    </row>
    <row r="90" spans="1:25">
      <c r="A90" s="123"/>
      <c r="B90" s="115"/>
      <c r="I90" s="9"/>
      <c r="L90" s="9"/>
    </row>
    <row r="91" spans="1:25">
      <c r="A91" s="123"/>
      <c r="B91" s="115"/>
      <c r="I91" s="9"/>
      <c r="L91" s="9"/>
    </row>
    <row r="92" spans="1:25">
      <c r="A92" s="123"/>
      <c r="B92" s="115"/>
      <c r="I92" s="9"/>
      <c r="L92" s="9"/>
    </row>
    <row r="93" spans="1:25">
      <c r="A93" s="123"/>
      <c r="B93" s="115"/>
      <c r="F93" s="2" t="str">
        <f>I21</f>
        <v xml:space="preserve"> </v>
      </c>
      <c r="I93" s="9"/>
      <c r="L93" s="9"/>
    </row>
    <row r="94" spans="1:25">
      <c r="A94" s="123"/>
      <c r="B94" s="115"/>
      <c r="I94" s="9"/>
      <c r="L94" s="9"/>
    </row>
    <row r="95" spans="1:25" ht="21.75" customHeight="1">
      <c r="A95" s="123"/>
      <c r="B95" s="115"/>
      <c r="I95" s="9">
        <f>T22</f>
        <v>280</v>
      </c>
      <c r="K95" s="92"/>
      <c r="L95" s="9">
        <f>U22</f>
        <v>280</v>
      </c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>
      <c r="A96" s="123"/>
      <c r="B96" s="115"/>
      <c r="I96" s="9"/>
      <c r="L96" s="9"/>
    </row>
    <row r="97" spans="1:28">
      <c r="A97" s="123"/>
      <c r="B97" s="115"/>
      <c r="I97" s="9"/>
      <c r="L97" s="9"/>
    </row>
    <row r="98" spans="1:28" ht="15" customHeight="1">
      <c r="A98" s="123"/>
      <c r="B98" s="115"/>
      <c r="I98" s="9"/>
      <c r="L98" s="9"/>
    </row>
    <row r="99" spans="1:28">
      <c r="A99" s="123"/>
      <c r="B99" s="115"/>
      <c r="F99" s="2" t="str">
        <f>I22</f>
        <v xml:space="preserve"> </v>
      </c>
    </row>
    <row r="100" spans="1:28">
      <c r="A100" s="123"/>
      <c r="B100" s="115"/>
    </row>
    <row r="101" spans="1:28">
      <c r="A101" s="123"/>
      <c r="B101" s="115"/>
    </row>
    <row r="102" spans="1:28">
      <c r="A102" s="123"/>
      <c r="B102" s="115"/>
    </row>
    <row r="103" spans="1:28">
      <c r="A103" s="123"/>
      <c r="B103" s="115"/>
      <c r="C103" s="2" t="s">
        <v>131</v>
      </c>
      <c r="AA103" s="125" t="s">
        <v>60</v>
      </c>
      <c r="AB103" s="125"/>
    </row>
    <row r="104" spans="1:28">
      <c r="A104" s="123"/>
      <c r="B104" s="115"/>
      <c r="C104" s="2" t="s">
        <v>132</v>
      </c>
    </row>
    <row r="105" spans="1:28">
      <c r="A105" s="123"/>
      <c r="B105" s="115"/>
      <c r="C105" s="2" t="s">
        <v>133</v>
      </c>
    </row>
    <row r="106" spans="1:28">
      <c r="A106" s="123"/>
      <c r="B106" s="115"/>
      <c r="C106" s="2" t="s">
        <v>134</v>
      </c>
    </row>
    <row r="107" spans="1:28">
      <c r="A107" s="123"/>
      <c r="B107" s="115"/>
    </row>
    <row r="108" spans="1:28">
      <c r="A108" s="123"/>
      <c r="B108" s="115"/>
    </row>
    <row r="109" spans="1:28">
      <c r="A109" s="123"/>
      <c r="B109" s="115"/>
    </row>
    <row r="110" spans="1:28">
      <c r="A110" s="123"/>
      <c r="B110" s="115"/>
    </row>
  </sheetData>
  <sheetProtection password="CF72" sheet="1" objects="1" scenarios="1"/>
  <mergeCells count="18">
    <mergeCell ref="AA103:AB103"/>
    <mergeCell ref="E4:J4"/>
    <mergeCell ref="E5:J5"/>
    <mergeCell ref="E11:J11"/>
    <mergeCell ref="A67:A110"/>
    <mergeCell ref="E6:J6"/>
    <mergeCell ref="E7:J7"/>
    <mergeCell ref="I14:J15"/>
    <mergeCell ref="E8:J8"/>
    <mergeCell ref="E9:J9"/>
    <mergeCell ref="E10:J10"/>
    <mergeCell ref="C14:C16"/>
    <mergeCell ref="D14:D16"/>
    <mergeCell ref="B14:B16"/>
    <mergeCell ref="B17:D17"/>
    <mergeCell ref="E14:H14"/>
    <mergeCell ref="E15:F15"/>
    <mergeCell ref="G15:H15"/>
  </mergeCells>
  <hyperlinks>
    <hyperlink ref="Z2" location="ST_TBX!A70" tooltip="Kontrola rozměrů pro zpracování" display="► Rozměry" xr:uid="{00000000-0004-0000-0D00-000000000000}"/>
    <hyperlink ref="Z1" location="STR!A1" tooltip="Úvodní strana SPACE TOWER" display="► Úvod potr.skř." xr:uid="{00000000-0004-0000-0D00-000001000000}"/>
    <hyperlink ref="AA103:AB103" location="ST_TBX!A1" tooltip="Zpět na plánování" display="Zpět" xr:uid="{00000000-0004-0000-0D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ignoredErrors>
    <ignoredError sqref="S20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499984740745262"/>
  </sheetPr>
  <dimension ref="A1:AB110"/>
  <sheetViews>
    <sheetView showGridLines="0" showRowColHeaders="0" workbookViewId="0" xr3:uid="{33642244-9AC9-5136-AF77-195C889548CE}">
      <selection activeCell="L33" sqref="L33"/>
    </sheetView>
  </sheetViews>
  <sheetFormatPr defaultRowHeight="14.25"/>
  <cols>
    <col min="1" max="1" width="1" style="2" customWidth="1"/>
    <col min="2" max="2" width="2.75" style="2" customWidth="1"/>
    <col min="3" max="3" width="7.25" style="2" customWidth="1"/>
    <col min="4" max="4" width="8.125" style="2" customWidth="1"/>
    <col min="5" max="8" width="7.5" style="2" customWidth="1"/>
    <col min="9" max="9" width="9" style="2" customWidth="1"/>
    <col min="10" max="10" width="9" style="2"/>
    <col min="11" max="11" width="0.75" style="2" customWidth="1"/>
    <col min="12" max="12" width="18.5" style="2" customWidth="1"/>
    <col min="13" max="14" width="7.5" style="2" hidden="1" customWidth="1"/>
    <col min="15" max="17" width="9" style="2" hidden="1" customWidth="1"/>
    <col min="18" max="24" width="7.5" style="2" hidden="1" customWidth="1"/>
    <col min="25" max="25" width="1.25" style="2" customWidth="1"/>
    <col min="26" max="26" width="20.25" style="2" customWidth="1"/>
    <col min="27" max="27" width="9.625" style="2" customWidth="1"/>
    <col min="28" max="16384" width="9" style="2"/>
  </cols>
  <sheetData>
    <row r="1" spans="2:27" ht="25.5">
      <c r="C1" s="1" t="s">
        <v>149</v>
      </c>
      <c r="Z1" s="84" t="s">
        <v>150</v>
      </c>
      <c r="AA1" s="26"/>
    </row>
    <row r="2" spans="2:27" ht="20.25">
      <c r="C2" s="25" t="s">
        <v>188</v>
      </c>
      <c r="Z2" s="85" t="s">
        <v>20</v>
      </c>
      <c r="AA2" s="26"/>
    </row>
    <row r="3" spans="2:27" ht="16.5" customHeight="1">
      <c r="C3" s="6"/>
      <c r="D3" s="19" t="s">
        <v>21</v>
      </c>
      <c r="E3" s="20"/>
      <c r="F3" s="20"/>
      <c r="G3" s="20"/>
      <c r="H3" s="20"/>
      <c r="I3" s="20"/>
      <c r="J3" s="20"/>
      <c r="N3" s="9" t="s">
        <v>22</v>
      </c>
      <c r="O3" s="34">
        <f>IF(AND(O4=1, O5=1, O6=1, O7=1, O8=1, O9=1, O10=1, O11=1, O12=1, O13=1),1,2)</f>
        <v>2</v>
      </c>
      <c r="P3" s="35" t="s">
        <v>23</v>
      </c>
    </row>
    <row r="4" spans="2:27" ht="16.5" customHeight="1">
      <c r="C4" s="6"/>
      <c r="D4" s="104"/>
      <c r="E4" s="133" t="s">
        <v>24</v>
      </c>
      <c r="F4" s="134"/>
      <c r="G4" s="134"/>
      <c r="H4" s="134"/>
      <c r="I4" s="134"/>
      <c r="J4" s="135"/>
      <c r="L4" s="13" t="str">
        <f>IF(D4&lt;X13, "Minimálně "&amp;X13&amp;" mm!", IF(D4&gt;2500, "Maximálně 2500 mm!", " "))</f>
        <v>Minimálně 1232 mm!</v>
      </c>
      <c r="O4" s="115">
        <f>IF(OR(D4&lt;$X$13, D4&gt;2500), 2, 1)</f>
        <v>2</v>
      </c>
      <c r="P4" s="35" t="s">
        <v>25</v>
      </c>
    </row>
    <row r="5" spans="2:27" ht="16.5" customHeight="1">
      <c r="C5" s="6"/>
      <c r="D5" s="104"/>
      <c r="E5" s="133" t="s">
        <v>151</v>
      </c>
      <c r="F5" s="134"/>
      <c r="G5" s="134"/>
      <c r="H5" s="134"/>
      <c r="I5" s="134"/>
      <c r="J5" s="135"/>
      <c r="L5" s="13" t="str">
        <f>IF(D5&lt;300, "Minimálně 300 mm!", IF(D5&gt;1200, "Maximálně 1200 mm!", " "))</f>
        <v>Minimálně 300 mm!</v>
      </c>
      <c r="O5" s="115">
        <f>IF(OR(D5&lt;250, D5&gt;1200), 2, 1)</f>
        <v>2</v>
      </c>
    </row>
    <row r="6" spans="2:27" ht="16.5" customHeight="1">
      <c r="C6" s="6"/>
      <c r="D6" s="102"/>
      <c r="E6" s="133" t="s">
        <v>26</v>
      </c>
      <c r="F6" s="134"/>
      <c r="G6" s="134"/>
      <c r="H6" s="134"/>
      <c r="I6" s="134"/>
      <c r="J6" s="135"/>
      <c r="L6" s="13" t="str">
        <f>IF(D6&gt;20,"Maximálně 20 mm!",IF(D6&lt;16,"Minimálně 16 mm!", " "))</f>
        <v>Minimálně 16 mm!</v>
      </c>
      <c r="O6" s="115">
        <f>IF(OR(D6&lt;16, D6&gt;20),2, 1)</f>
        <v>2</v>
      </c>
    </row>
    <row r="7" spans="2:27" ht="16.5" customHeight="1">
      <c r="C7" s="6"/>
      <c r="D7" s="102"/>
      <c r="E7" s="133" t="s">
        <v>27</v>
      </c>
      <c r="F7" s="134"/>
      <c r="G7" s="134"/>
      <c r="H7" s="134"/>
      <c r="I7" s="134"/>
      <c r="J7" s="135"/>
      <c r="L7" s="13" t="str">
        <f>IF(D7&lt;16,"Minimálně 16 mm!"," ")</f>
        <v>Minimálně 16 mm!</v>
      </c>
      <c r="O7" s="115">
        <f>IF(D7&lt;16, 2, 1)</f>
        <v>2</v>
      </c>
    </row>
    <row r="8" spans="2:27" ht="16.5" customHeight="1">
      <c r="C8" s="6"/>
      <c r="D8" s="102"/>
      <c r="E8" s="133" t="s">
        <v>28</v>
      </c>
      <c r="F8" s="134"/>
      <c r="G8" s="134"/>
      <c r="H8" s="134"/>
      <c r="I8" s="134"/>
      <c r="J8" s="135"/>
      <c r="L8" s="13" t="str">
        <f>IF(D8&gt;$D$6,"Maximálně "&amp;$D$6&amp;" mm!"," ")</f>
        <v xml:space="preserve"> </v>
      </c>
      <c r="O8" s="115">
        <f>IF(D8&gt;$D$6, 2, 1)</f>
        <v>1</v>
      </c>
    </row>
    <row r="9" spans="2:27" ht="16.5" customHeight="1">
      <c r="C9" s="6"/>
      <c r="D9" s="102"/>
      <c r="E9" s="133" t="s">
        <v>103</v>
      </c>
      <c r="F9" s="134"/>
      <c r="G9" s="134"/>
      <c r="H9" s="134"/>
      <c r="I9" s="134"/>
      <c r="J9" s="135"/>
      <c r="L9" s="13" t="str">
        <f>IF(D9&gt;$D$6,"Maximálně "&amp;$D$6&amp;" mm!"," ")</f>
        <v xml:space="preserve"> </v>
      </c>
      <c r="O9" s="115">
        <f>IF(D9&gt;$D$6, 2, 1)</f>
        <v>1</v>
      </c>
    </row>
    <row r="10" spans="2:27" ht="16.5" customHeight="1">
      <c r="C10" s="6"/>
      <c r="D10" s="102"/>
      <c r="E10" s="133" t="s">
        <v>152</v>
      </c>
      <c r="F10" s="134"/>
      <c r="G10" s="134"/>
      <c r="H10" s="134"/>
      <c r="I10" s="134"/>
      <c r="J10" s="135"/>
      <c r="L10" s="13" t="str">
        <f>IF($D$7&gt;15.999, IF(D10&lt;&gt;($D$7-16), "Musí být "&amp;($D$7-16)&amp;" mm! ***", " "), " ")</f>
        <v xml:space="preserve"> </v>
      </c>
      <c r="O10" s="115">
        <f>IF(D10=($D$7-16), 1, 2)</f>
        <v>2</v>
      </c>
    </row>
    <row r="11" spans="2:27" ht="16.5" customHeight="1">
      <c r="C11" s="6"/>
      <c r="D11" s="104"/>
      <c r="E11" s="133" t="s">
        <v>153</v>
      </c>
      <c r="F11" s="134"/>
      <c r="G11" s="134"/>
      <c r="H11" s="134"/>
      <c r="I11" s="134"/>
      <c r="J11" s="135"/>
      <c r="L11" s="13" t="str">
        <f>IF(OR($D$11=3, $D$11=4), " ", "Musí být 3 nebo 4!")</f>
        <v>Musí být 3 nebo 4!</v>
      </c>
      <c r="O11" s="115">
        <f>IF(OR(D11=3, D11=4), 1, 2)</f>
        <v>2</v>
      </c>
    </row>
    <row r="12" spans="2:27" ht="16.5" customHeight="1" thickBot="1">
      <c r="C12" s="6"/>
      <c r="D12" s="21" t="str">
        <f>IF(SUM(O4:O11)&gt;8, "Vyplňte správně všechny parametry!"," ")</f>
        <v>Vyplňte správně všechny parametry!</v>
      </c>
      <c r="E12" s="5"/>
      <c r="F12" s="5"/>
      <c r="G12" s="5"/>
      <c r="H12" s="5"/>
      <c r="I12" s="5"/>
      <c r="J12" s="5"/>
      <c r="N12" s="9" t="s">
        <v>154</v>
      </c>
      <c r="O12" s="115">
        <f>IF(OR(D18&lt;Q18, D19&lt;Q19, D20&lt;Q20, D21&lt;Q21, D22&lt;Q22), 2, 1)</f>
        <v>2</v>
      </c>
    </row>
    <row r="13" spans="2:27" ht="13.5" customHeight="1" thickBot="1">
      <c r="N13" s="9" t="s">
        <v>155</v>
      </c>
      <c r="O13" s="115">
        <f>IF($D$4&lt;$X$13, 2, 1)</f>
        <v>2</v>
      </c>
      <c r="Q13" s="9"/>
      <c r="R13" s="37" t="s">
        <v>156</v>
      </c>
      <c r="S13" s="3">
        <f>SUM(M17:M22, 10)</f>
        <v>1232</v>
      </c>
      <c r="T13" s="37" t="s">
        <v>157</v>
      </c>
      <c r="U13" s="3">
        <f>SUM(N17:N22, 10)</f>
        <v>1315</v>
      </c>
      <c r="V13" s="37" t="s">
        <v>158</v>
      </c>
      <c r="W13" s="82">
        <f>SUM($V$17, 260)</f>
        <v>470</v>
      </c>
      <c r="X13" s="83">
        <f>IF(AND(D11&lt;&gt;4, S13&gt;W13), S13, IF(AND(D11=4, U13&gt;W13), U13, W13))</f>
        <v>1232</v>
      </c>
    </row>
    <row r="14" spans="2:27" ht="17.25" customHeight="1">
      <c r="B14" s="150" t="s">
        <v>159</v>
      </c>
      <c r="C14" s="129" t="s">
        <v>160</v>
      </c>
      <c r="D14" s="129" t="s">
        <v>161</v>
      </c>
      <c r="E14" s="151" t="s">
        <v>162</v>
      </c>
      <c r="F14" s="148"/>
      <c r="G14" s="148"/>
      <c r="H14" s="149"/>
      <c r="I14" s="152" t="s">
        <v>163</v>
      </c>
      <c r="J14" s="153"/>
      <c r="O14" s="79"/>
      <c r="P14" s="79"/>
      <c r="Q14" s="79"/>
      <c r="R14" s="79"/>
      <c r="S14" s="79"/>
      <c r="T14" s="79"/>
    </row>
    <row r="15" spans="2:27" ht="17.25" customHeight="1">
      <c r="B15" s="150"/>
      <c r="C15" s="129"/>
      <c r="D15" s="129"/>
      <c r="E15" s="129" t="s">
        <v>164</v>
      </c>
      <c r="F15" s="129"/>
      <c r="G15" s="148" t="s">
        <v>165</v>
      </c>
      <c r="H15" s="149"/>
      <c r="I15" s="154"/>
      <c r="J15" s="155"/>
      <c r="M15" s="108" t="s">
        <v>166</v>
      </c>
      <c r="N15" s="106"/>
      <c r="O15" s="109" t="s">
        <v>167</v>
      </c>
      <c r="Q15" s="107"/>
      <c r="R15" s="110" t="s">
        <v>168</v>
      </c>
      <c r="S15" s="110"/>
      <c r="T15" s="110" t="s">
        <v>169</v>
      </c>
      <c r="U15" s="110"/>
      <c r="V15" s="111" t="s">
        <v>170</v>
      </c>
      <c r="W15" s="112"/>
      <c r="X15" s="113"/>
    </row>
    <row r="16" spans="2:27" ht="15" customHeight="1">
      <c r="B16" s="150"/>
      <c r="C16" s="129"/>
      <c r="D16" s="129"/>
      <c r="E16" s="117" t="s">
        <v>171</v>
      </c>
      <c r="F16" s="117" t="s">
        <v>172</v>
      </c>
      <c r="G16" s="117" t="s">
        <v>171</v>
      </c>
      <c r="H16" s="117" t="s">
        <v>172</v>
      </c>
      <c r="I16" s="117" t="s">
        <v>107</v>
      </c>
      <c r="J16" s="117" t="s">
        <v>41</v>
      </c>
      <c r="M16" s="14" t="s">
        <v>173</v>
      </c>
      <c r="N16" s="75" t="s">
        <v>174</v>
      </c>
      <c r="O16" s="76" t="s">
        <v>173</v>
      </c>
      <c r="P16" s="75" t="s">
        <v>174</v>
      </c>
      <c r="Q16" s="77" t="s">
        <v>175</v>
      </c>
      <c r="R16" s="78" t="s">
        <v>171</v>
      </c>
      <c r="S16" s="78" t="s">
        <v>172</v>
      </c>
      <c r="T16" s="78" t="s">
        <v>171</v>
      </c>
      <c r="U16" s="78" t="s">
        <v>172</v>
      </c>
      <c r="V16" s="78" t="s">
        <v>107</v>
      </c>
      <c r="W16" s="78" t="s">
        <v>41</v>
      </c>
      <c r="X16" s="78" t="s">
        <v>176</v>
      </c>
      <c r="Y16" s="63"/>
    </row>
    <row r="17" spans="2:28" ht="24" customHeight="1">
      <c r="B17" s="142" t="s">
        <v>177</v>
      </c>
      <c r="C17" s="143"/>
      <c r="D17" s="144"/>
      <c r="E17" s="3" t="str">
        <f>IF(OR($D$18=0, $O$3=2, $D$11&lt;&gt;3)," ", R17)</f>
        <v xml:space="preserve"> </v>
      </c>
      <c r="F17" s="3" t="str">
        <f>IF(OR($D18=0,$O$3=2, $D$11&lt;&gt;3)," ", S17)</f>
        <v xml:space="preserve"> </v>
      </c>
      <c r="G17" s="3" t="str">
        <f>IF(OR($D18=0, $O$3=2, $D$11&lt;&gt;4)," ", T17)</f>
        <v xml:space="preserve"> </v>
      </c>
      <c r="H17" s="3" t="str">
        <f>IF(OR($D18=0,$O$3=2, $D$11&lt;&gt;4)," ", U17)</f>
        <v xml:space="preserve"> </v>
      </c>
      <c r="I17" s="3" t="str">
        <f>IF(OR($D18=0,$O$3=2)," ",$V17)</f>
        <v xml:space="preserve"> </v>
      </c>
      <c r="J17" s="3" t="str">
        <f>IF(OR($O$3=2,$D$18=0)," ",$W$17)</f>
        <v xml:space="preserve"> </v>
      </c>
      <c r="M17" s="80">
        <v>260</v>
      </c>
      <c r="N17" s="81">
        <v>260</v>
      </c>
      <c r="O17" s="80">
        <f>SUM(M17, -$D$6, -9)</f>
        <v>251</v>
      </c>
      <c r="P17" s="81">
        <f>SUM(N17, -$D$6, -9)</f>
        <v>251</v>
      </c>
      <c r="Q17" s="74">
        <f t="shared" ref="Q17:Q22" si="0">IF($D$11=3, O17, P17)</f>
        <v>251</v>
      </c>
      <c r="R17" s="36">
        <f>SUM($D$4, -80)</f>
        <v>-80</v>
      </c>
      <c r="S17" s="41">
        <f>R17-$D$9</f>
        <v>-80</v>
      </c>
      <c r="T17" s="36">
        <f>SUM($D$4, -80)</f>
        <v>-80</v>
      </c>
      <c r="U17" s="41">
        <f>T17-$D$9</f>
        <v>-80</v>
      </c>
      <c r="V17" s="36">
        <f>SUM($V$18, $D$18, -38, 40, 9)</f>
        <v>210</v>
      </c>
      <c r="W17" s="36">
        <v>37</v>
      </c>
      <c r="X17" s="79"/>
      <c r="Y17" s="63"/>
    </row>
    <row r="18" spans="2:28" ht="24" customHeight="1">
      <c r="B18" s="64">
        <v>5</v>
      </c>
      <c r="C18" s="64">
        <v>245</v>
      </c>
      <c r="D18" s="104"/>
      <c r="E18" s="3" t="str">
        <f>IF(OR($D18=0, $O$3=2, $D$11&lt;&gt;3)," ", R18)</f>
        <v xml:space="preserve"> </v>
      </c>
      <c r="F18" s="3" t="str">
        <f>IF(OR($D18=0,$O$3=2, $D$11&lt;&gt;3)," ", S18)</f>
        <v xml:space="preserve"> </v>
      </c>
      <c r="G18" s="3" t="str">
        <f>IF(OR($D18=0, $O$3=2, $D$11&lt;&gt;4)," ", T18)</f>
        <v xml:space="preserve"> </v>
      </c>
      <c r="H18" s="3" t="str">
        <f>IF(OR($D18=0,$O$3=2, $D$11&lt;&gt;4)," ", U18)</f>
        <v xml:space="preserve"> </v>
      </c>
      <c r="I18" s="3" t="str">
        <f>IF(OR($D19=0,$O$3=2)," ",$V18)</f>
        <v xml:space="preserve"> </v>
      </c>
      <c r="J18" s="3" t="str">
        <f>IF(OR($O$3=2,$D$18=0)," ",$W$18)</f>
        <v xml:space="preserve"> </v>
      </c>
      <c r="L18" s="51" t="str">
        <f>IF($D18&lt;$Q18, "Min. "&amp;$Q18&amp;"!", " ")</f>
        <v>Min. 172!</v>
      </c>
      <c r="M18" s="68">
        <f>SUM(109, 20)</f>
        <v>129</v>
      </c>
      <c r="N18" s="69">
        <f>SUM(109, 33, 70)</f>
        <v>212</v>
      </c>
      <c r="O18" s="70">
        <f t="shared" ref="O18:P21" si="1">SUM(M18, -40)</f>
        <v>89</v>
      </c>
      <c r="P18" s="71">
        <f t="shared" si="1"/>
        <v>172</v>
      </c>
      <c r="Q18" s="74">
        <f t="shared" si="0"/>
        <v>172</v>
      </c>
      <c r="R18" s="4" t="s">
        <v>178</v>
      </c>
      <c r="S18" s="41" t="s">
        <v>178</v>
      </c>
      <c r="T18" s="4">
        <f>V18+112</f>
        <v>311</v>
      </c>
      <c r="U18" s="41">
        <f>T18-$D$9</f>
        <v>311</v>
      </c>
      <c r="V18" s="4">
        <f>SUM($V$19, $D$19, 40)</f>
        <v>199</v>
      </c>
      <c r="W18" s="4">
        <v>37</v>
      </c>
      <c r="X18" s="4">
        <v>38</v>
      </c>
      <c r="Y18" s="66"/>
      <c r="Z18" s="9"/>
      <c r="AA18" s="115"/>
    </row>
    <row r="19" spans="2:28" ht="24" customHeight="1">
      <c r="B19" s="64">
        <v>4</v>
      </c>
      <c r="C19" s="64">
        <v>220</v>
      </c>
      <c r="D19" s="104"/>
      <c r="E19" s="3" t="str">
        <f>IF(OR($D19=0, $O$3=2, $D$11&lt;&gt;3)," ", R19)</f>
        <v xml:space="preserve"> </v>
      </c>
      <c r="F19" s="3" t="str">
        <f>IF(OR($D19=0,$O$3=2, $D$11&lt;&gt;3)," ", S19)</f>
        <v xml:space="preserve"> </v>
      </c>
      <c r="G19" s="3" t="str">
        <f>IF(OR($D19=0, $O$3=2, $D$11&lt;&gt;4)," ", T19)</f>
        <v xml:space="preserve"> </v>
      </c>
      <c r="H19" s="3" t="str">
        <f>IF(OR($D19=0,$O$3=2, $D$11&lt;&gt;4)," ", U19)</f>
        <v xml:space="preserve"> </v>
      </c>
      <c r="I19" s="3" t="str">
        <f>IF(OR($D20=0,$O$3=2)," ",$V19)</f>
        <v xml:space="preserve"> </v>
      </c>
      <c r="J19" s="3" t="str">
        <f>IF(OR($O$3=2,$D$19=0)," ",$W$19)</f>
        <v xml:space="preserve"> </v>
      </c>
      <c r="L19" s="51" t="str">
        <f>IF($D19&lt;$Q19, "Min. "&amp;$Q19&amp;"!", " ")</f>
        <v>Min. 120!</v>
      </c>
      <c r="M19" s="68">
        <v>160</v>
      </c>
      <c r="N19" s="69">
        <v>160</v>
      </c>
      <c r="O19" s="72">
        <f t="shared" si="1"/>
        <v>120</v>
      </c>
      <c r="P19" s="73">
        <f t="shared" si="1"/>
        <v>120</v>
      </c>
      <c r="Q19" s="74">
        <f t="shared" si="0"/>
        <v>120</v>
      </c>
      <c r="R19" s="4" t="s">
        <v>178</v>
      </c>
      <c r="S19" s="41" t="s">
        <v>178</v>
      </c>
      <c r="T19" s="4" t="s">
        <v>178</v>
      </c>
      <c r="U19" s="41" t="s">
        <v>178</v>
      </c>
      <c r="V19" s="4">
        <f>SUM($V$20, $D$20, 40)</f>
        <v>159</v>
      </c>
      <c r="W19" s="4">
        <v>37</v>
      </c>
      <c r="X19" s="4">
        <v>38</v>
      </c>
      <c r="Y19" s="67"/>
      <c r="Z19" s="97" t="s">
        <v>179</v>
      </c>
    </row>
    <row r="20" spans="2:28" ht="24" customHeight="1">
      <c r="B20" s="64">
        <v>3</v>
      </c>
      <c r="C20" s="64">
        <v>312</v>
      </c>
      <c r="D20" s="104"/>
      <c r="E20" s="3" t="str">
        <f>IF(OR($D20=0, $O$3=2, $D$11&lt;&gt;3)," ", R20)</f>
        <v xml:space="preserve"> </v>
      </c>
      <c r="F20" s="3" t="str">
        <f>IF(OR($D20=0,$O$3=2, $D$11&lt;&gt;3)," ", S20)</f>
        <v xml:space="preserve"> </v>
      </c>
      <c r="G20" s="3" t="str">
        <f>IF(OR($D20=0, $O$3=2, $D$11&lt;&gt;4)," ", T20)</f>
        <v xml:space="preserve"> </v>
      </c>
      <c r="H20" s="3" t="str">
        <f>IF(OR($D20=0,$O$3=2, $D$11&lt;&gt;4)," ", U20)</f>
        <v xml:space="preserve"> </v>
      </c>
      <c r="I20" s="3" t="str">
        <f>IF(OR($D21=0,$O$3=2)," ",$V20)</f>
        <v xml:space="preserve"> </v>
      </c>
      <c r="J20" s="3" t="str">
        <f>IF(OR($O$3=2,$D$20=0)," ",$W$20)</f>
        <v xml:space="preserve"> </v>
      </c>
      <c r="L20" s="51" t="str">
        <f>IF($D20&lt;$Q20, "Min. "&amp;$Q20&amp;"!", " ")</f>
        <v>Min. 180!</v>
      </c>
      <c r="M20" s="68">
        <v>220</v>
      </c>
      <c r="N20" s="69">
        <v>220</v>
      </c>
      <c r="O20" s="72">
        <f t="shared" si="1"/>
        <v>180</v>
      </c>
      <c r="P20" s="73">
        <f t="shared" si="1"/>
        <v>180</v>
      </c>
      <c r="Q20" s="74">
        <f t="shared" si="0"/>
        <v>180</v>
      </c>
      <c r="R20" s="4">
        <f>SUM($V$19, -38, -45)</f>
        <v>76</v>
      </c>
      <c r="S20" s="41">
        <f>R20-$D$9</f>
        <v>76</v>
      </c>
      <c r="T20" s="4">
        <f>SUM($V$19, -38, -45)</f>
        <v>76</v>
      </c>
      <c r="U20" s="41">
        <f>T20-$D$9</f>
        <v>76</v>
      </c>
      <c r="V20" s="4">
        <f>SUM($V$21, $D$21, 40)</f>
        <v>119</v>
      </c>
      <c r="W20" s="4">
        <v>37</v>
      </c>
      <c r="X20" s="4">
        <v>38</v>
      </c>
      <c r="Y20" s="67"/>
      <c r="Z20" s="96" t="str">
        <f>"čelní sklo: "&amp;$R$27&amp;" mm "</f>
        <v xml:space="preserve">čelní sklo: -80 mm </v>
      </c>
      <c r="AA20" s="16"/>
    </row>
    <row r="21" spans="2:28" ht="24" customHeight="1">
      <c r="B21" s="64">
        <v>2</v>
      </c>
      <c r="C21" s="64">
        <v>260</v>
      </c>
      <c r="D21" s="104"/>
      <c r="E21" s="3" t="str">
        <f>IF(OR($D21=0, $O$3=2, $D$11&lt;&gt;3)," ", R21)</f>
        <v xml:space="preserve"> </v>
      </c>
      <c r="F21" s="3" t="str">
        <f>IF(OR($D21=0,$O$3=2, $D$11&lt;&gt;3)," ", S21)</f>
        <v xml:space="preserve"> </v>
      </c>
      <c r="G21" s="3" t="str">
        <f>IF(OR($D21=0, $O$3=2, $D$11&lt;&gt;4)," ", T21)</f>
        <v xml:space="preserve"> </v>
      </c>
      <c r="H21" s="3" t="str">
        <f>IF(OR($D21=0,$O$3=2, $D$11&lt;&gt;4)," ", U21)</f>
        <v xml:space="preserve"> </v>
      </c>
      <c r="I21" s="3" t="str">
        <f>IF(OR($D22=0,$O$3=2)," ",$V21)</f>
        <v xml:space="preserve"> </v>
      </c>
      <c r="J21" s="3" t="str">
        <f>IF(OR($D$22=0,$O$3=2)," ",W21)</f>
        <v xml:space="preserve"> </v>
      </c>
      <c r="L21" s="51" t="str">
        <f>IF($D21&lt;$Q21, "Min. "&amp;$Q21&amp;"!", " ")</f>
        <v>Min. 120!</v>
      </c>
      <c r="M21" s="68">
        <v>160</v>
      </c>
      <c r="N21" s="69">
        <v>160</v>
      </c>
      <c r="O21" s="72">
        <f t="shared" si="1"/>
        <v>120</v>
      </c>
      <c r="P21" s="73">
        <f t="shared" si="1"/>
        <v>120</v>
      </c>
      <c r="Q21" s="74">
        <f t="shared" si="0"/>
        <v>120</v>
      </c>
      <c r="R21" s="4" t="s">
        <v>178</v>
      </c>
      <c r="S21" s="41" t="s">
        <v>178</v>
      </c>
      <c r="T21" s="4" t="s">
        <v>178</v>
      </c>
      <c r="U21" s="41" t="s">
        <v>178</v>
      </c>
      <c r="V21" s="4">
        <f>SUM($V$22, $D$22, 40)</f>
        <v>79</v>
      </c>
      <c r="W21" s="4">
        <v>37</v>
      </c>
      <c r="X21" s="4">
        <v>38</v>
      </c>
      <c r="Y21" s="67"/>
      <c r="Z21" s="96" t="str">
        <f>"přední reling: "&amp;$R$26&amp;" mm "</f>
        <v xml:space="preserve">přední reling: -90 mm </v>
      </c>
      <c r="AA21" s="16"/>
    </row>
    <row r="22" spans="2:28" ht="24" customHeight="1">
      <c r="B22" s="65" t="s">
        <v>115</v>
      </c>
      <c r="C22" s="64">
        <v>359</v>
      </c>
      <c r="D22" s="104"/>
      <c r="E22" s="3" t="str">
        <f>IF(OR($D22=0, $O$3=2, $D$11&lt;&gt;3)," ", R22)</f>
        <v xml:space="preserve"> </v>
      </c>
      <c r="F22" s="3" t="str">
        <f>IF(OR($D22=0,$O$3=2, $D$11&lt;&gt;3)," ", S22)</f>
        <v xml:space="preserve"> </v>
      </c>
      <c r="G22" s="3" t="str">
        <f>IF(OR($D22=0, $O$3=2, $D$11&lt;&gt;4)," ", T22)</f>
        <v xml:space="preserve"> </v>
      </c>
      <c r="H22" s="3" t="str">
        <f>IF(OR($D22=0,$O$3=2, $D$11&lt;&gt;4)," ", U22)</f>
        <v xml:space="preserve"> </v>
      </c>
      <c r="I22" s="3" t="str">
        <f>IF(OR($D$22=0,$O$3=2)," ",$V$22)</f>
        <v xml:space="preserve"> </v>
      </c>
      <c r="J22" s="3" t="str">
        <f>IF(OR($D$22=0,$O$3=2)," ",W22)</f>
        <v xml:space="preserve"> </v>
      </c>
      <c r="L22" s="51" t="str">
        <f>IF($D22&lt;$Q22, "Min. "&amp;$Q22&amp;"!", " ")</f>
        <v>Min. 253!</v>
      </c>
      <c r="M22" s="68">
        <f>SUM(227, $D$6, 66)</f>
        <v>293</v>
      </c>
      <c r="N22" s="69">
        <f>SUM(227, $D$6, 66)</f>
        <v>293</v>
      </c>
      <c r="O22" s="72">
        <f>SUM(M22, -40, -$D$6)</f>
        <v>253</v>
      </c>
      <c r="P22" s="73">
        <f>SUM(N22, -40, -$D$6)</f>
        <v>253</v>
      </c>
      <c r="Q22" s="74">
        <f t="shared" si="0"/>
        <v>253</v>
      </c>
      <c r="R22" s="4">
        <v>280</v>
      </c>
      <c r="S22" s="41">
        <f>R22-$D$9</f>
        <v>280</v>
      </c>
      <c r="T22" s="4">
        <v>280</v>
      </c>
      <c r="U22" s="41">
        <f>T22-$D$9</f>
        <v>280</v>
      </c>
      <c r="V22" s="4">
        <f>SUM($X22, $D$6)</f>
        <v>39</v>
      </c>
      <c r="W22" s="4">
        <v>37</v>
      </c>
      <c r="X22" s="4">
        <v>39</v>
      </c>
      <c r="Y22" s="67"/>
      <c r="Z22" s="96" t="str">
        <f>"čelní profil: "&amp;$R$25&amp;" mm "</f>
        <v xml:space="preserve">čelní profil: -126 mm </v>
      </c>
      <c r="AA22" s="9"/>
      <c r="AB22" s="5"/>
    </row>
    <row r="23" spans="2:28" ht="12.75" customHeight="1"/>
    <row r="24" spans="2:28">
      <c r="C24" s="2" t="s">
        <v>180</v>
      </c>
    </row>
    <row r="25" spans="2:28">
      <c r="C25" s="2" t="s">
        <v>48</v>
      </c>
      <c r="P25" s="2" t="s">
        <v>181</v>
      </c>
      <c r="Q25" s="9" t="s">
        <v>182</v>
      </c>
      <c r="R25" s="2">
        <f>$D$5-$D$7*2-126</f>
        <v>-126</v>
      </c>
      <c r="X25" s="11"/>
    </row>
    <row r="26" spans="2:28" ht="12" customHeight="1">
      <c r="Q26" s="9" t="s">
        <v>183</v>
      </c>
      <c r="R26" s="2">
        <f>$D$5-$D$7*2-90</f>
        <v>-90</v>
      </c>
    </row>
    <row r="27" spans="2:28">
      <c r="C27" s="21" t="str">
        <f>IF($O$13=2, "          Rozmístění výsuvů neodpovídá výšce korpusu! Upravte úložné výšky nebo výšku korpusu.", " ")</f>
        <v xml:space="preserve">          Rozmístění výsuvů neodpovídá výšce korpusu! Upravte úložné výšky nebo výšku korpusu.</v>
      </c>
      <c r="Q27" s="2" t="s">
        <v>189</v>
      </c>
      <c r="R27" s="2">
        <f>$D$5-$D$7*2-80</f>
        <v>-80</v>
      </c>
    </row>
    <row r="28" spans="2:28" ht="12" customHeight="1"/>
    <row r="29" spans="2:28">
      <c r="C29" s="2" t="s">
        <v>184</v>
      </c>
    </row>
    <row r="30" spans="2:28">
      <c r="C30" s="2" t="s">
        <v>185</v>
      </c>
    </row>
    <row r="32" spans="2:28">
      <c r="C32" s="2" t="s">
        <v>186</v>
      </c>
    </row>
    <row r="67" spans="1:12" ht="18">
      <c r="A67" s="123"/>
      <c r="C67" s="22" t="s">
        <v>187</v>
      </c>
    </row>
    <row r="68" spans="1:12">
      <c r="A68" s="123"/>
    </row>
    <row r="69" spans="1:12">
      <c r="A69" s="123"/>
    </row>
    <row r="70" spans="1:12">
      <c r="A70" s="123"/>
      <c r="I70" s="2">
        <f>T17</f>
        <v>-80</v>
      </c>
      <c r="L70" s="2">
        <f>U17</f>
        <v>-80</v>
      </c>
    </row>
    <row r="71" spans="1:12">
      <c r="A71" s="123"/>
    </row>
    <row r="72" spans="1:12">
      <c r="A72" s="123"/>
    </row>
    <row r="73" spans="1:12">
      <c r="A73" s="123"/>
    </row>
    <row r="74" spans="1:12">
      <c r="A74" s="123"/>
      <c r="B74" s="115"/>
      <c r="F74" s="2" t="str">
        <f>I17</f>
        <v xml:space="preserve"> </v>
      </c>
    </row>
    <row r="75" spans="1:12" ht="15.75" customHeight="1">
      <c r="A75" s="123"/>
      <c r="B75" s="115"/>
      <c r="I75" s="2" t="str">
        <f>G18</f>
        <v xml:space="preserve"> </v>
      </c>
      <c r="L75" s="2" t="str">
        <f>H18</f>
        <v xml:space="preserve"> </v>
      </c>
    </row>
    <row r="76" spans="1:12">
      <c r="A76" s="123"/>
      <c r="B76" s="115"/>
    </row>
    <row r="77" spans="1:12">
      <c r="A77" s="123"/>
      <c r="B77" s="115"/>
      <c r="F77" s="2" t="str">
        <f>I18</f>
        <v xml:space="preserve"> </v>
      </c>
    </row>
    <row r="78" spans="1:12">
      <c r="A78" s="123"/>
      <c r="B78" s="115"/>
    </row>
    <row r="79" spans="1:12">
      <c r="A79" s="123"/>
      <c r="B79" s="115"/>
    </row>
    <row r="80" spans="1:12">
      <c r="A80" s="123"/>
      <c r="B80" s="115"/>
    </row>
    <row r="81" spans="1:12" ht="20.25" customHeight="1">
      <c r="A81" s="123"/>
      <c r="B81" s="115"/>
    </row>
    <row r="82" spans="1:12" ht="17.25" customHeight="1">
      <c r="A82" s="123"/>
      <c r="B82" s="115"/>
      <c r="F82" s="2" t="str">
        <f>I19</f>
        <v xml:space="preserve"> </v>
      </c>
    </row>
    <row r="83" spans="1:12" ht="20.25" customHeight="1">
      <c r="A83" s="123"/>
      <c r="B83" s="115"/>
      <c r="I83" s="2">
        <f>U20</f>
        <v>76</v>
      </c>
      <c r="L83" s="2">
        <f>U20</f>
        <v>76</v>
      </c>
    </row>
    <row r="84" spans="1:12">
      <c r="A84" s="123"/>
      <c r="B84" s="115"/>
    </row>
    <row r="85" spans="1:12">
      <c r="A85" s="123"/>
      <c r="B85" s="115"/>
    </row>
    <row r="86" spans="1:12">
      <c r="A86" s="123"/>
      <c r="B86" s="115"/>
    </row>
    <row r="87" spans="1:12" ht="19.5" customHeight="1">
      <c r="A87" s="123"/>
      <c r="B87" s="115"/>
    </row>
    <row r="88" spans="1:12">
      <c r="A88" s="123"/>
      <c r="B88" s="115"/>
      <c r="F88" s="2" t="str">
        <f>I20</f>
        <v xml:space="preserve"> </v>
      </c>
    </row>
    <row r="89" spans="1:12">
      <c r="A89" s="123"/>
      <c r="B89" s="115"/>
    </row>
    <row r="90" spans="1:12">
      <c r="A90" s="123"/>
      <c r="B90" s="115"/>
    </row>
    <row r="91" spans="1:12">
      <c r="A91" s="123"/>
      <c r="B91" s="115"/>
    </row>
    <row r="92" spans="1:12">
      <c r="A92" s="123"/>
      <c r="B92" s="115"/>
    </row>
    <row r="93" spans="1:12">
      <c r="A93" s="123"/>
      <c r="B93" s="115"/>
      <c r="F93" s="2" t="str">
        <f>I21</f>
        <v xml:space="preserve"> </v>
      </c>
    </row>
    <row r="94" spans="1:12">
      <c r="A94" s="123"/>
      <c r="B94" s="115"/>
    </row>
    <row r="95" spans="1:12" ht="21.75" customHeight="1">
      <c r="A95" s="123"/>
      <c r="B95" s="115"/>
      <c r="I95" s="2">
        <f>U22</f>
        <v>280</v>
      </c>
      <c r="L95" s="2">
        <f>U22</f>
        <v>280</v>
      </c>
    </row>
    <row r="96" spans="1:12">
      <c r="A96" s="123"/>
      <c r="B96" s="115"/>
    </row>
    <row r="97" spans="1:28">
      <c r="A97" s="123"/>
      <c r="B97" s="115"/>
    </row>
    <row r="98" spans="1:28" ht="15" customHeight="1">
      <c r="A98" s="123"/>
      <c r="B98" s="115"/>
    </row>
    <row r="99" spans="1:28">
      <c r="A99" s="123"/>
      <c r="B99" s="115"/>
      <c r="F99" s="2" t="str">
        <f>I22</f>
        <v xml:space="preserve"> </v>
      </c>
    </row>
    <row r="100" spans="1:28">
      <c r="A100" s="123"/>
      <c r="B100" s="115"/>
    </row>
    <row r="101" spans="1:28">
      <c r="A101" s="123"/>
      <c r="B101" s="115"/>
    </row>
    <row r="102" spans="1:28">
      <c r="A102" s="123"/>
      <c r="B102" s="115"/>
    </row>
    <row r="103" spans="1:28">
      <c r="A103" s="123"/>
      <c r="B103" s="115"/>
      <c r="C103" s="2" t="s">
        <v>131</v>
      </c>
      <c r="AA103" s="124" t="s">
        <v>60</v>
      </c>
      <c r="AB103" s="124"/>
    </row>
    <row r="104" spans="1:28">
      <c r="A104" s="123"/>
      <c r="B104" s="115"/>
      <c r="C104" s="2" t="s">
        <v>132</v>
      </c>
    </row>
    <row r="105" spans="1:28">
      <c r="A105" s="123"/>
      <c r="B105" s="115"/>
      <c r="C105" s="2" t="s">
        <v>133</v>
      </c>
    </row>
    <row r="106" spans="1:28">
      <c r="A106" s="123"/>
      <c r="B106" s="115"/>
      <c r="C106" s="2" t="s">
        <v>134</v>
      </c>
    </row>
    <row r="107" spans="1:28">
      <c r="A107" s="123"/>
      <c r="B107" s="115"/>
    </row>
    <row r="108" spans="1:28">
      <c r="A108" s="123"/>
      <c r="B108" s="115"/>
    </row>
    <row r="109" spans="1:28">
      <c r="A109" s="123"/>
      <c r="B109" s="115"/>
    </row>
    <row r="110" spans="1:28">
      <c r="A110" s="123"/>
      <c r="B110" s="115"/>
    </row>
  </sheetData>
  <sheetProtection password="CF72" sheet="1" objects="1" scenarios="1"/>
  <mergeCells count="18">
    <mergeCell ref="AA103:AB103"/>
    <mergeCell ref="A67:A110"/>
    <mergeCell ref="E10:J10"/>
    <mergeCell ref="E11:J11"/>
    <mergeCell ref="B14:B16"/>
    <mergeCell ref="C14:C16"/>
    <mergeCell ref="D14:D16"/>
    <mergeCell ref="E14:H14"/>
    <mergeCell ref="I14:J15"/>
    <mergeCell ref="E15:F15"/>
    <mergeCell ref="G15:H15"/>
    <mergeCell ref="B17:D17"/>
    <mergeCell ref="E4:J4"/>
    <mergeCell ref="E5:J5"/>
    <mergeCell ref="E6:J6"/>
    <mergeCell ref="E7:J7"/>
    <mergeCell ref="E8:J8"/>
    <mergeCell ref="E9:J9"/>
  </mergeCells>
  <hyperlinks>
    <hyperlink ref="Z2" location="ST_LBX!A70" tooltip="Kontrola rozměrů pro zpracování" display="► Rozměry" xr:uid="{00000000-0004-0000-0E00-000000000000}"/>
    <hyperlink ref="Z1" location="STR!A1" tooltip="Úvodní strana SPACE TOWER" display="► Úvod potr.skř." xr:uid="{00000000-0004-0000-0E00-000001000000}"/>
    <hyperlink ref="AA103:AB103" location="ST_LBX!A1" tooltip="Zpět na plánování" display="Zpět" xr:uid="{00000000-0004-0000-0E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F13"/>
  <sheetViews>
    <sheetView showGridLines="0" showRowColHeaders="0" workbookViewId="0" xr3:uid="{958C4451-9541-5A59-BF78-D2F731DF1C81}"/>
  </sheetViews>
  <sheetFormatPr defaultRowHeight="14.25"/>
  <cols>
    <col min="1" max="1" width="4.25" customWidth="1"/>
    <col min="2" max="7" width="19.5" customWidth="1"/>
  </cols>
  <sheetData>
    <row r="1" spans="2:6" ht="6" customHeight="1"/>
    <row r="2" spans="2:6" ht="24" customHeight="1">
      <c r="B2" s="31" t="s">
        <v>9</v>
      </c>
      <c r="E2" s="58" t="s">
        <v>10</v>
      </c>
      <c r="F2" s="54"/>
    </row>
    <row r="3" spans="2:6" ht="24" customHeight="1">
      <c r="B3" s="120" t="s">
        <v>11</v>
      </c>
      <c r="C3" s="120"/>
      <c r="D3" s="120"/>
    </row>
    <row r="4" spans="2:6" ht="109.5" customHeight="1"/>
    <row r="5" spans="2:6" ht="24" customHeight="1">
      <c r="B5" s="32" t="s">
        <v>12</v>
      </c>
      <c r="C5" s="18" t="s">
        <v>13</v>
      </c>
      <c r="D5" s="18" t="s">
        <v>14</v>
      </c>
    </row>
    <row r="7" spans="2:6" ht="109.5" customHeight="1"/>
    <row r="8" spans="2:6" ht="24" customHeight="1">
      <c r="B8" s="32" t="s">
        <v>15</v>
      </c>
      <c r="C8" s="18" t="s">
        <v>16</v>
      </c>
      <c r="D8" s="18" t="s">
        <v>17</v>
      </c>
    </row>
    <row r="9" spans="2:6">
      <c r="B9" s="23"/>
      <c r="C9" s="23"/>
      <c r="D9" s="23"/>
    </row>
    <row r="11" spans="2:6" ht="44.25" customHeight="1">
      <c r="B11" s="119" t="s">
        <v>7</v>
      </c>
      <c r="C11" s="119"/>
      <c r="D11" s="119"/>
    </row>
    <row r="13" spans="2:6">
      <c r="B13" t="s">
        <v>8</v>
      </c>
    </row>
  </sheetData>
  <sheetProtection password="CF72" sheet="1" objects="1" scenarios="1"/>
  <mergeCells count="2">
    <mergeCell ref="B3:D3"/>
    <mergeCell ref="B11:D11"/>
  </mergeCells>
  <hyperlinks>
    <hyperlink ref="B8" location="HK!A1" tooltip=" " display="AVENTOS HK" xr:uid="{00000000-0004-0000-0100-000000000000}"/>
    <hyperlink ref="C8" location="'HK-S'!A1" tooltip=" " display="AVENTOS HK-S" xr:uid="{00000000-0004-0000-0100-000001000000}"/>
    <hyperlink ref="D8" location="'HK-XS'!A1" tooltip=" " display="AVENTOS HK-XS" xr:uid="{00000000-0004-0000-0100-000002000000}"/>
    <hyperlink ref="B5" location="HF!A1" tooltip=" " display="AVENTOS HF" xr:uid="{00000000-0004-0000-0100-000003000000}"/>
    <hyperlink ref="C5" location="HS!A1" tooltip=" " display="AVENTOS HS" xr:uid="{00000000-0004-0000-0100-000004000000}"/>
    <hyperlink ref="D5" location="HL!A1" tooltip=" " display="AVENTOS HL" xr:uid="{00000000-0004-0000-0100-000005000000}"/>
    <hyperlink ref="E2" location="Uvod!A1" tooltip=" " display="Úvodní strana" xr:uid="{00000000-0004-0000-0100-000006000000}"/>
  </hyperlinks>
  <pageMargins left="0.51181102362204722" right="0.51181102362204722" top="0.78740157480314965" bottom="0.78740157480314965" header="0.31496062992125984" footer="0.31496062992125984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AF103"/>
  <sheetViews>
    <sheetView showGridLines="0" showRowColHeaders="0" zoomScaleNormal="100" workbookViewId="0" xr3:uid="{842E5F09-E766-5B8D-85AF-A39847EA96FD}">
      <selection activeCell="AD10" sqref="AD10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7.75" style="2" customWidth="1"/>
    <col min="22" max="22" width="18.37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18</v>
      </c>
      <c r="U1" s="60" t="s">
        <v>19</v>
      </c>
    </row>
    <row r="2" spans="2:24" ht="18" customHeight="1">
      <c r="B2" s="25"/>
      <c r="U2" s="61" t="s">
        <v>20</v>
      </c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L9=1, L10=1),1,2)</f>
        <v>2</v>
      </c>
      <c r="M3" s="35" t="s">
        <v>23</v>
      </c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IF(C4&lt;480, "Minimálně 480 mm!", IF(C4&gt;1040, "Maximálně 1040 mm!", " "))</f>
        <v>Minimálně 480 mm!</v>
      </c>
      <c r="L4" s="115">
        <f>IF(OR(C4&lt;480, C4&gt;1040), 2, 1)</f>
        <v>2</v>
      </c>
      <c r="M4" s="35" t="s">
        <v>25</v>
      </c>
      <c r="W4" s="26"/>
      <c r="X4" s="26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IF(C5&lt;16,"Minimálně 16 mm!"," ")</f>
        <v>Minimálně 16 mm!</v>
      </c>
      <c r="L5" s="115">
        <f>IF(C5&lt;16, 2, 1)</f>
        <v>2</v>
      </c>
      <c r="W5" s="55"/>
      <c r="X5" s="55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IF(C6&lt;14,"Minimálně 16 mm!"," ")</f>
        <v>Minimálně 16 mm!</v>
      </c>
      <c r="L6" s="115">
        <f>IF(C6&lt;16, 2, 1)</f>
        <v>2</v>
      </c>
      <c r="W6" s="54"/>
      <c r="X6" s="54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IF($C$5&gt;15.999, IF(C7&lt;&gt;($C$5-16), "Musí být "&amp;($C$5-16)&amp;" mm! ***", " "), " ")</f>
        <v xml:space="preserve"> </v>
      </c>
      <c r="L7" s="115">
        <f>IF(C7=($C$5-16), 1, 2)</f>
        <v>2</v>
      </c>
      <c r="W7" s="54"/>
      <c r="X7" s="54"/>
    </row>
    <row r="8" spans="2:24" ht="16.5" customHeight="1">
      <c r="B8" s="6"/>
      <c r="C8" s="102"/>
      <c r="D8" s="122" t="s">
        <v>29</v>
      </c>
      <c r="E8" s="122"/>
      <c r="F8" s="122"/>
      <c r="G8" s="122"/>
      <c r="H8" s="122"/>
      <c r="J8" s="13" t="str">
        <f>IF(C8&lt;1.5,"Minimálně 1,5 mm!"," ")</f>
        <v>Minimálně 1,5 mm!</v>
      </c>
      <c r="L8" s="115">
        <f>IF(C8&lt;1.5, 2, 1)</f>
        <v>2</v>
      </c>
      <c r="W8" s="54"/>
      <c r="X8" s="54"/>
    </row>
    <row r="9" spans="2:24" ht="16.5" customHeight="1">
      <c r="B9" s="6"/>
      <c r="C9" s="102"/>
      <c r="D9" s="122" t="s">
        <v>30</v>
      </c>
      <c r="E9" s="122"/>
      <c r="F9" s="122"/>
      <c r="G9" s="122"/>
      <c r="H9" s="122"/>
      <c r="J9" s="13" t="str">
        <f>IF(C9&gt;C5,"Maximálně "&amp;C5&amp;" mm!"," ")</f>
        <v xml:space="preserve"> </v>
      </c>
      <c r="L9" s="115">
        <f>IF(C9&gt;C5, 2, 1)</f>
        <v>1</v>
      </c>
      <c r="W9" s="54"/>
      <c r="X9" s="54"/>
    </row>
    <row r="10" spans="2:24" ht="16.5" customHeight="1">
      <c r="B10" s="6"/>
      <c r="C10" s="102"/>
      <c r="D10" s="122" t="s">
        <v>31</v>
      </c>
      <c r="E10" s="122"/>
      <c r="F10" s="122"/>
      <c r="G10" s="122"/>
      <c r="H10" s="122"/>
      <c r="J10" s="13" t="str">
        <f>IF(C10&gt;C6,"Maximálně "&amp;C6&amp;" mm!"," ")</f>
        <v xml:space="preserve"> </v>
      </c>
      <c r="L10" s="115">
        <f>IF(C10&gt;C6, 2, 1)</f>
        <v>1</v>
      </c>
      <c r="W10" s="54"/>
      <c r="X10" s="54"/>
    </row>
    <row r="11" spans="2:24" ht="17.25" customHeight="1">
      <c r="C11" s="52" t="str">
        <f>IF(L3=2, "Vyplňte správně všechny parametry!"," ")</f>
        <v>Vyplňte správně všechny parametry!</v>
      </c>
      <c r="L11" s="115"/>
      <c r="M11" s="115"/>
      <c r="N11" s="115"/>
      <c r="O11" s="115"/>
      <c r="P11" s="115"/>
      <c r="Q11" s="115"/>
    </row>
    <row r="12" spans="2:24" ht="33" customHeight="1">
      <c r="C12" s="2" t="s">
        <v>32</v>
      </c>
      <c r="L12" s="115"/>
      <c r="M12" s="115"/>
      <c r="N12" s="115"/>
      <c r="O12" s="115"/>
      <c r="P12" s="115"/>
      <c r="Q12" s="115"/>
    </row>
    <row r="13" spans="2:24" ht="16.5" customHeight="1">
      <c r="B13" s="30"/>
      <c r="C13" s="121" t="s">
        <v>33</v>
      </c>
      <c r="D13" s="121"/>
      <c r="E13" s="121"/>
      <c r="F13" s="121" t="s">
        <v>34</v>
      </c>
      <c r="G13" s="121"/>
      <c r="H13" s="121"/>
      <c r="L13" s="79"/>
      <c r="M13" s="79"/>
      <c r="N13" s="39" t="s">
        <v>35</v>
      </c>
      <c r="O13" s="33" t="s">
        <v>36</v>
      </c>
      <c r="P13" s="79"/>
      <c r="Q13" s="26"/>
      <c r="R13" s="26"/>
      <c r="S13" s="26"/>
    </row>
    <row r="14" spans="2:24" ht="16.5" customHeight="1">
      <c r="B14" s="30"/>
      <c r="C14" s="116" t="s">
        <v>37</v>
      </c>
      <c r="D14" s="116" t="s">
        <v>38</v>
      </c>
      <c r="E14" s="116" t="s">
        <v>39</v>
      </c>
      <c r="F14" s="116" t="s">
        <v>40</v>
      </c>
      <c r="G14" s="116" t="s">
        <v>41</v>
      </c>
      <c r="H14" s="116" t="s">
        <v>42</v>
      </c>
      <c r="L14" s="79"/>
      <c r="M14" s="9" t="s">
        <v>43</v>
      </c>
      <c r="N14" s="45">
        <f>$C$4*0.3-28</f>
        <v>-28</v>
      </c>
      <c r="O14" s="46">
        <f>$C$4*0.3-57</f>
        <v>-57</v>
      </c>
      <c r="P14" s="79"/>
      <c r="Q14" s="26"/>
      <c r="R14" s="26"/>
      <c r="S14" s="26"/>
      <c r="W14" s="2" t="s">
        <v>44</v>
      </c>
    </row>
    <row r="15" spans="2:24" ht="22.5" customHeight="1">
      <c r="B15" s="29"/>
      <c r="C15" s="38">
        <f>IF(AND($L$3=1, $C$4&lt;550, $C$4&gt;479.99), $N$16, IF(AND($L$3=1, $C$4&gt;449.999, $C$4&lt;1040.001), $O$16, 0))</f>
        <v>0</v>
      </c>
      <c r="D15" s="38">
        <f>IF($L$3=1, SUM($C$6-$C$10+12.5), 0)</f>
        <v>0</v>
      </c>
      <c r="E15" s="38">
        <f>IF($L$3=1, SUM($C$6-$C$10+12.5), 0)</f>
        <v>0</v>
      </c>
      <c r="F15" s="38">
        <f>IF(AND($L$3=1, $C$4&lt;550, $C$4&gt;479.99), $N$15, IF(AND($L$3=1, $C$4&gt;449.999, $C$4&lt;1040.001), $O$15, 0))</f>
        <v>0</v>
      </c>
      <c r="G15" s="38">
        <f>IF($L$3=1, 37, 0)</f>
        <v>0</v>
      </c>
      <c r="H15" s="38">
        <f>IF($L$3=1, 192, 0)</f>
        <v>0</v>
      </c>
      <c r="K15" s="17"/>
      <c r="L15" s="43"/>
      <c r="M15" s="44" t="s">
        <v>45</v>
      </c>
      <c r="N15" s="45">
        <f>ROUND($C$4-$N$14, 0)</f>
        <v>28</v>
      </c>
      <c r="O15" s="46">
        <f>ROUND($C$4-$O$14, 0)</f>
        <v>57</v>
      </c>
      <c r="P15" s="26"/>
      <c r="Q15" s="17"/>
      <c r="R15" s="27"/>
      <c r="S15" s="28"/>
      <c r="T15" s="9"/>
      <c r="W15" s="115">
        <f>$E$15</f>
        <v>0</v>
      </c>
    </row>
    <row r="16" spans="2:24" ht="15.75" customHeight="1">
      <c r="K16" s="9" t="s">
        <v>46</v>
      </c>
      <c r="L16" s="36">
        <f>SUM(C4-C7-C8-C9)/2</f>
        <v>0</v>
      </c>
      <c r="M16" s="37" t="s">
        <v>47</v>
      </c>
      <c r="N16" s="41">
        <f>ROUND($L$16, 0)/2-70</f>
        <v>-70</v>
      </c>
      <c r="O16" s="36">
        <f>ROUND($L$16, 0)/2-47</f>
        <v>-47</v>
      </c>
      <c r="P16" s="26"/>
      <c r="Q16" s="26"/>
      <c r="R16" s="26"/>
      <c r="S16" s="26"/>
    </row>
    <row r="17" spans="2:24" ht="14.25" customHeight="1">
      <c r="U17" s="9">
        <f>$F$15</f>
        <v>0</v>
      </c>
    </row>
    <row r="18" spans="2:24" ht="14.25" customHeight="1">
      <c r="B18" s="2" t="s">
        <v>48</v>
      </c>
      <c r="T18" s="11"/>
      <c r="W18" s="16">
        <f>$E$15</f>
        <v>0</v>
      </c>
    </row>
    <row r="19" spans="2:24" ht="14.25" customHeight="1"/>
    <row r="20" spans="2:24" ht="14.25" customHeight="1">
      <c r="C20" s="21" t="s">
        <v>49</v>
      </c>
      <c r="W20" s="16">
        <f>$E$15</f>
        <v>0</v>
      </c>
    </row>
    <row r="21" spans="2:24" ht="14.25" customHeight="1"/>
    <row r="22" spans="2:24" ht="14.25" customHeight="1">
      <c r="C22" s="2" t="s">
        <v>50</v>
      </c>
    </row>
    <row r="23" spans="2:24" ht="14.25" customHeight="1">
      <c r="C23" s="2" t="s">
        <v>51</v>
      </c>
      <c r="W23" s="9" t="s">
        <v>52</v>
      </c>
      <c r="X23" s="5">
        <f>$C$15</f>
        <v>0</v>
      </c>
    </row>
    <row r="24" spans="2:24" ht="18" customHeight="1">
      <c r="C24" s="2" t="s">
        <v>53</v>
      </c>
    </row>
    <row r="25" spans="2:24" ht="18" customHeight="1">
      <c r="C25" s="2" t="s">
        <v>54</v>
      </c>
    </row>
    <row r="26" spans="2:24" ht="14.25" customHeight="1">
      <c r="C26" s="2" t="s">
        <v>55</v>
      </c>
    </row>
    <row r="27" spans="2:24" ht="14.25" customHeight="1">
      <c r="C27" s="2" t="s">
        <v>56</v>
      </c>
    </row>
    <row r="28" spans="2:24" ht="15.75" customHeight="1"/>
    <row r="29" spans="2:24" ht="15.75" customHeight="1"/>
    <row r="30" spans="2:24" ht="15.75" customHeight="1">
      <c r="C30" s="2" t="s">
        <v>57</v>
      </c>
    </row>
    <row r="31" spans="2:24" ht="15.75" customHeight="1"/>
    <row r="32" spans="2:24" ht="15.75" customHeight="1"/>
    <row r="33" spans="20:20" ht="12" customHeight="1"/>
    <row r="34" spans="20:20" ht="9" customHeight="1"/>
    <row r="35" spans="20:20">
      <c r="T35" s="115"/>
    </row>
    <row r="43" spans="20:20" ht="12" customHeight="1"/>
    <row r="44" spans="20:20" ht="12" customHeight="1"/>
    <row r="45" spans="20:20" ht="12" customHeight="1"/>
    <row r="46" spans="20:20" ht="12" customHeight="1"/>
    <row r="47" spans="20:20" ht="12" customHeight="1"/>
    <row r="48" spans="20:20" ht="12" customHeight="1"/>
    <row r="49" spans="32:32" ht="12" customHeight="1"/>
    <row r="50" spans="32:32" ht="12" customHeight="1"/>
    <row r="51" spans="32:32" ht="12" customHeight="1"/>
    <row r="52" spans="32:32" ht="12" customHeight="1"/>
    <row r="53" spans="32:32" ht="12" customHeight="1"/>
    <row r="54" spans="32:32" ht="12" customHeight="1"/>
    <row r="55" spans="32:32" ht="12" customHeight="1"/>
    <row r="59" spans="32:32">
      <c r="AF59" s="115"/>
    </row>
    <row r="69" spans="1:21" ht="18">
      <c r="A69" s="123"/>
      <c r="B69" s="100" t="str">
        <f>"Hodnoty pro výšku korpusu KH "&amp;$C$4&amp;" mm"</f>
        <v>Hodnoty pro výšku korpusu KH  mm</v>
      </c>
    </row>
    <row r="70" spans="1:21" ht="18">
      <c r="A70" s="123"/>
      <c r="B70" s="22" t="s">
        <v>58</v>
      </c>
      <c r="U70" s="22" t="s">
        <v>59</v>
      </c>
    </row>
    <row r="71" spans="1:21">
      <c r="A71" s="123"/>
    </row>
    <row r="72" spans="1:21">
      <c r="A72" s="123"/>
    </row>
    <row r="73" spans="1:21">
      <c r="A73" s="123"/>
    </row>
    <row r="74" spans="1:21">
      <c r="A74" s="123"/>
    </row>
    <row r="75" spans="1:21">
      <c r="A75" s="123"/>
      <c r="C75" s="115" t="str">
        <f>"("&amp;$C$4-F15&amp;")"</f>
        <v>(0)</v>
      </c>
    </row>
    <row r="76" spans="1:21">
      <c r="A76" s="123"/>
    </row>
    <row r="77" spans="1:21">
      <c r="A77" s="123"/>
    </row>
    <row r="78" spans="1:21" ht="9" customHeight="1">
      <c r="A78" s="123"/>
    </row>
    <row r="79" spans="1:21">
      <c r="A79" s="123"/>
    </row>
    <row r="80" spans="1:21">
      <c r="A80" s="123"/>
    </row>
    <row r="81" spans="1:24">
      <c r="A81" s="123"/>
    </row>
    <row r="82" spans="1:24" ht="15">
      <c r="A82" s="123"/>
      <c r="C82" s="57">
        <f>$F$15</f>
        <v>0</v>
      </c>
      <c r="U82" s="5">
        <v>32</v>
      </c>
    </row>
    <row r="83" spans="1:24">
      <c r="A83" s="123"/>
      <c r="U83" s="56">
        <f>$C$15</f>
        <v>0</v>
      </c>
    </row>
    <row r="84" spans="1:24">
      <c r="A84" s="123"/>
    </row>
    <row r="85" spans="1:24">
      <c r="A85" s="123"/>
    </row>
    <row r="86" spans="1:24">
      <c r="A86" s="123"/>
    </row>
    <row r="87" spans="1:24">
      <c r="A87" s="123"/>
      <c r="U87" s="115">
        <f>$D$15</f>
        <v>0</v>
      </c>
    </row>
    <row r="88" spans="1:24">
      <c r="A88" s="123"/>
    </row>
    <row r="89" spans="1:24">
      <c r="A89" s="123"/>
    </row>
    <row r="90" spans="1:24">
      <c r="A90" s="123"/>
      <c r="W90" s="124" t="s">
        <v>60</v>
      </c>
      <c r="X90" s="124"/>
    </row>
    <row r="91" spans="1:24">
      <c r="A91" s="123"/>
    </row>
    <row r="92" spans="1:24">
      <c r="A92" s="123"/>
      <c r="C92" s="2" t="s">
        <v>61</v>
      </c>
      <c r="D92" s="9"/>
      <c r="E92" s="9"/>
      <c r="F92" s="2" t="s">
        <v>62</v>
      </c>
    </row>
    <row r="93" spans="1:24">
      <c r="A93" s="123"/>
      <c r="C93" s="2" t="s">
        <v>63</v>
      </c>
      <c r="D93" s="9"/>
      <c r="E93" s="9"/>
      <c r="F93" s="2" t="s">
        <v>64</v>
      </c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</sheetData>
  <sheetProtection password="CF72" sheet="1" objects="1" scenarios="1"/>
  <mergeCells count="11">
    <mergeCell ref="W90:X90"/>
    <mergeCell ref="D8:H8"/>
    <mergeCell ref="D9:H9"/>
    <mergeCell ref="D10:H10"/>
    <mergeCell ref="D7:H7"/>
    <mergeCell ref="C13:E13"/>
    <mergeCell ref="F13:H13"/>
    <mergeCell ref="D5:H5"/>
    <mergeCell ref="D6:H6"/>
    <mergeCell ref="D4:H4"/>
    <mergeCell ref="A69:A103"/>
  </mergeCells>
  <hyperlinks>
    <hyperlink ref="U2" location="HF!A70" tooltip="Kontrola rozměrů pro zpracování" display="► Rozměry" xr:uid="{00000000-0004-0000-0200-000000000000}"/>
    <hyperlink ref="W90:X90" location="HF!A1" tooltip="Zpět na plánování" display="Zpět" xr:uid="{00000000-0004-0000-0200-000001000000}"/>
    <hyperlink ref="U1" location="AVS!A1" tooltip="Úvodní strana AVENTOS" display="Úvod AVENTOS" xr:uid="{00000000-0004-0000-02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AF100"/>
  <sheetViews>
    <sheetView showGridLines="0" showRowColHeaders="0" workbookViewId="0" xr3:uid="{51F8DEE0-4D01-5F28-A812-FC0BD7CAC4A5}">
      <selection activeCell="J9" sqref="J9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8.5" style="2" customWidth="1"/>
    <col min="22" max="22" width="18.37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13</v>
      </c>
      <c r="U1" s="60" t="s">
        <v>19</v>
      </c>
    </row>
    <row r="2" spans="2:24" ht="18" customHeight="1">
      <c r="B2" s="25"/>
      <c r="U2" s="61" t="s">
        <v>20</v>
      </c>
      <c r="W2" s="59"/>
      <c r="X2" s="59"/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L9=1),1,2)</f>
        <v>2</v>
      </c>
      <c r="M3" s="35" t="s">
        <v>23</v>
      </c>
      <c r="W3" s="62"/>
      <c r="X3" s="62"/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IF(C4&lt;350, "Minimálně 350 mm!", IF(C4&gt;800, "Maximálně 800 mm!", " "))</f>
        <v>Minimálně 350 mm!</v>
      </c>
      <c r="L4" s="115">
        <f>IF(OR(C4&lt;350, C4&gt;800), 2, 1)</f>
        <v>2</v>
      </c>
      <c r="M4" s="35" t="s">
        <v>25</v>
      </c>
      <c r="W4" s="63"/>
      <c r="X4" s="63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IF(C5&lt;14,"Minimálně 14 mm!"," ")</f>
        <v>Minimálně 14 mm!</v>
      </c>
      <c r="L5" s="115">
        <f>IF(C5&lt;14, 2, 1)</f>
        <v>2</v>
      </c>
      <c r="W5" s="54"/>
      <c r="X5" s="54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IF(C6&lt;14,"Minimálně 14 mm!"," ")</f>
        <v>Minimálně 14 mm!</v>
      </c>
      <c r="L6" s="115">
        <f>IF(C6&lt;14, 2, 1)</f>
        <v>2</v>
      </c>
      <c r="W6" s="55"/>
      <c r="X6" s="55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IF(C7&gt;$C$5,"Maximálně "&amp;$C$5&amp;" mm!"," ")</f>
        <v xml:space="preserve"> </v>
      </c>
      <c r="L7" s="115">
        <f>IF(C7&gt;$C$5, 2, 1)</f>
        <v>1</v>
      </c>
      <c r="W7" s="54"/>
      <c r="X7" s="54"/>
    </row>
    <row r="8" spans="2:24" ht="16.5" customHeight="1">
      <c r="B8" s="6"/>
      <c r="C8" s="102"/>
      <c r="D8" s="122" t="s">
        <v>30</v>
      </c>
      <c r="E8" s="122"/>
      <c r="F8" s="122"/>
      <c r="G8" s="122"/>
      <c r="H8" s="122"/>
      <c r="J8" s="13" t="str">
        <f>IF(C8&gt;$C$5,"Maximálně "&amp;$C$5&amp;" mm!"," ")</f>
        <v xml:space="preserve"> </v>
      </c>
      <c r="L8" s="115">
        <f>IF(C8&gt;$C$5, 2, 1)</f>
        <v>1</v>
      </c>
      <c r="W8" s="54"/>
      <c r="X8" s="54"/>
    </row>
    <row r="9" spans="2:24" ht="16.5" customHeight="1">
      <c r="B9" s="6"/>
      <c r="C9" s="102"/>
      <c r="D9" s="122" t="s">
        <v>31</v>
      </c>
      <c r="E9" s="122"/>
      <c r="F9" s="122"/>
      <c r="G9" s="122"/>
      <c r="H9" s="122"/>
      <c r="J9" s="13" t="str">
        <f>IF(C9&gt;C6,"Maximálně "&amp;C6&amp;" mm!"," ")</f>
        <v xml:space="preserve"> </v>
      </c>
      <c r="L9" s="115">
        <f>IF(C9&gt;C6, 2, 1)</f>
        <v>1</v>
      </c>
      <c r="W9" s="54"/>
      <c r="X9" s="54"/>
    </row>
    <row r="10" spans="2:24" ht="17.25" customHeight="1">
      <c r="C10" s="52" t="str">
        <f>IF(L3=2, "Vyplňte správně všechny parametry!"," ")</f>
        <v>Vyplňte správně všechny parametry!</v>
      </c>
      <c r="L10" s="115"/>
      <c r="M10" s="115"/>
      <c r="N10" s="115"/>
      <c r="O10" s="115"/>
      <c r="P10" s="115"/>
      <c r="Q10" s="115"/>
      <c r="W10" s="54"/>
      <c r="X10" s="54"/>
    </row>
    <row r="11" spans="2:24" ht="16.5" customHeight="1">
      <c r="C11" s="2" t="s">
        <v>32</v>
      </c>
      <c r="L11" s="115"/>
      <c r="M11" s="115"/>
      <c r="N11" s="115"/>
      <c r="O11" s="115"/>
      <c r="P11" s="115"/>
      <c r="Q11" s="115"/>
    </row>
    <row r="12" spans="2:24" ht="16.5" customHeight="1">
      <c r="B12" s="30"/>
      <c r="C12" s="121" t="s">
        <v>33</v>
      </c>
      <c r="D12" s="121"/>
      <c r="E12" s="121"/>
      <c r="F12" s="121" t="s">
        <v>34</v>
      </c>
      <c r="G12" s="121"/>
      <c r="H12" s="121"/>
      <c r="L12" s="79"/>
      <c r="M12" s="79"/>
      <c r="N12" s="39" t="s">
        <v>65</v>
      </c>
      <c r="O12" s="33"/>
      <c r="P12" s="79"/>
      <c r="Q12" s="26"/>
      <c r="R12" s="26"/>
      <c r="S12" s="26"/>
    </row>
    <row r="13" spans="2:24" ht="16.5" customHeight="1">
      <c r="B13" s="30"/>
      <c r="C13" s="116" t="s">
        <v>37</v>
      </c>
      <c r="D13" s="116" t="s">
        <v>38</v>
      </c>
      <c r="E13" s="116" t="s">
        <v>39</v>
      </c>
      <c r="F13" s="116" t="s">
        <v>40</v>
      </c>
      <c r="G13" s="116" t="s">
        <v>41</v>
      </c>
      <c r="H13" s="116" t="s">
        <v>42</v>
      </c>
      <c r="L13" s="79"/>
      <c r="M13" s="9" t="s">
        <v>43</v>
      </c>
      <c r="N13" s="40">
        <f>80+$C$5</f>
        <v>80</v>
      </c>
      <c r="O13" s="79"/>
      <c r="P13" s="79"/>
      <c r="Q13" s="26"/>
      <c r="R13" s="26"/>
      <c r="S13" s="26"/>
    </row>
    <row r="14" spans="2:24" ht="22.5" customHeight="1">
      <c r="B14" s="29"/>
      <c r="C14" s="38">
        <f>IF($L$3=1, $N$15, 0)</f>
        <v>0</v>
      </c>
      <c r="D14" s="38">
        <f>IF($L$3=1, SUM($C$6-$C$9+12.5), 0)</f>
        <v>0</v>
      </c>
      <c r="E14" s="38">
        <f>IF($L$3=1, SUM($C$6-$C$9+12.5), 0)</f>
        <v>0</v>
      </c>
      <c r="F14" s="38">
        <f>IF($L$3=1, $N$14, 0)</f>
        <v>0</v>
      </c>
      <c r="G14" s="38">
        <f>IF($L$3=1, 37, 0)</f>
        <v>0</v>
      </c>
      <c r="H14" s="38">
        <f>IF($L$3=1, 192, 0)</f>
        <v>0</v>
      </c>
      <c r="K14" s="17"/>
      <c r="L14" s="26"/>
      <c r="M14" s="44" t="s">
        <v>45</v>
      </c>
      <c r="N14" s="45">
        <f>$C$4-$N$13</f>
        <v>-80</v>
      </c>
      <c r="O14" s="46"/>
      <c r="P14" s="26"/>
      <c r="Q14" s="17"/>
      <c r="R14" s="27"/>
      <c r="S14" s="28"/>
      <c r="T14" s="115"/>
      <c r="W14" s="9" t="s">
        <v>66</v>
      </c>
      <c r="X14" s="5">
        <f>$C$14</f>
        <v>0</v>
      </c>
    </row>
    <row r="15" spans="2:24" ht="15.75" customHeight="1">
      <c r="K15" s="9" t="s">
        <v>46</v>
      </c>
      <c r="L15" s="36"/>
      <c r="M15" s="37" t="s">
        <v>47</v>
      </c>
      <c r="N15" s="41">
        <f>196.5+$C$5-$C$7</f>
        <v>196.5</v>
      </c>
      <c r="O15" s="36"/>
      <c r="P15" s="26"/>
      <c r="Q15" s="26"/>
      <c r="R15" s="26"/>
      <c r="S15" s="26"/>
    </row>
    <row r="16" spans="2:24" ht="14.25" customHeight="1"/>
    <row r="17" spans="2:23" ht="14.25" customHeight="1">
      <c r="B17" s="2" t="s">
        <v>48</v>
      </c>
      <c r="U17" s="11">
        <f>$F$14</f>
        <v>0</v>
      </c>
      <c r="W17" s="115">
        <f>$E$14</f>
        <v>0</v>
      </c>
    </row>
    <row r="18" spans="2:23" ht="14.25" customHeight="1">
      <c r="S18" s="21"/>
    </row>
    <row r="19" spans="2:23" ht="14.25" customHeight="1">
      <c r="C19" s="21"/>
      <c r="S19" s="21"/>
      <c r="W19" s="16">
        <f>$E$14</f>
        <v>0</v>
      </c>
    </row>
    <row r="20" spans="2:23" ht="14.25" customHeight="1">
      <c r="S20" s="21"/>
    </row>
    <row r="21" spans="2:23" ht="14.25" customHeight="1">
      <c r="C21" s="2" t="s">
        <v>67</v>
      </c>
      <c r="S21" s="21"/>
    </row>
    <row r="22" spans="2:23" ht="14.25" customHeight="1">
      <c r="C22" s="21"/>
      <c r="S22" s="21"/>
      <c r="W22" s="16">
        <f>$E$14</f>
        <v>0</v>
      </c>
    </row>
    <row r="23" spans="2:23" ht="18" customHeight="1">
      <c r="C23" s="2" t="s">
        <v>68</v>
      </c>
      <c r="S23" s="21"/>
      <c r="W23" s="9" t="s">
        <v>44</v>
      </c>
    </row>
    <row r="24" spans="2:23" ht="14.25" customHeight="1">
      <c r="S24" s="42"/>
    </row>
    <row r="25" spans="2:23" ht="14.25" customHeight="1">
      <c r="S25" s="21"/>
    </row>
    <row r="26" spans="2:23" ht="14.25" customHeight="1">
      <c r="S26" s="42"/>
    </row>
    <row r="27" spans="2:23" ht="14.25" customHeight="1">
      <c r="S27" s="21"/>
    </row>
    <row r="28" spans="2:23" ht="14.25" customHeight="1">
      <c r="C28" s="2" t="s">
        <v>57</v>
      </c>
      <c r="S28" s="42"/>
    </row>
    <row r="29" spans="2:23" ht="14.25" customHeight="1">
      <c r="S29" s="21"/>
    </row>
    <row r="30" spans="2:23" ht="14.25" customHeight="1">
      <c r="S30" s="42"/>
    </row>
    <row r="31" spans="2:23" ht="14.25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32:32" ht="12" customHeight="1"/>
    <row r="50" spans="32:32" ht="12" customHeight="1"/>
    <row r="51" spans="32:32" ht="12" customHeight="1"/>
    <row r="52" spans="32:32" ht="12" customHeight="1"/>
    <row r="56" spans="32:32">
      <c r="AF56" s="115"/>
    </row>
    <row r="66" spans="1:21">
      <c r="A66" s="123"/>
    </row>
    <row r="67" spans="1:21" ht="18">
      <c r="A67" s="123"/>
      <c r="B67" s="22" t="s">
        <v>58</v>
      </c>
      <c r="U67" s="22" t="s">
        <v>59</v>
      </c>
    </row>
    <row r="68" spans="1:21">
      <c r="A68" s="123"/>
    </row>
    <row r="69" spans="1:21">
      <c r="A69" s="123"/>
    </row>
    <row r="70" spans="1:21">
      <c r="A70" s="123"/>
    </row>
    <row r="71" spans="1:21">
      <c r="A71" s="123"/>
    </row>
    <row r="72" spans="1:21" ht="15">
      <c r="A72" s="123"/>
      <c r="C72" s="115" t="str">
        <f>"("&amp;$C$4-F14&amp;")"</f>
        <v>(0)</v>
      </c>
      <c r="U72" s="87">
        <f>$C$14</f>
        <v>0</v>
      </c>
    </row>
    <row r="73" spans="1:21">
      <c r="A73" s="123"/>
    </row>
    <row r="74" spans="1:21">
      <c r="A74" s="123"/>
      <c r="U74" s="56"/>
    </row>
    <row r="75" spans="1:21">
      <c r="A75" s="123"/>
    </row>
    <row r="76" spans="1:21">
      <c r="A76" s="123"/>
    </row>
    <row r="77" spans="1:21">
      <c r="A77" s="123"/>
    </row>
    <row r="78" spans="1:21" ht="15">
      <c r="A78" s="123"/>
      <c r="C78" s="57">
        <f>$F$14</f>
        <v>0</v>
      </c>
      <c r="U78" s="56" t="str">
        <f>"("&amp;$C$4-$C$7-$C$8-$C$14-96&amp;")"</f>
        <v>(-96)</v>
      </c>
    </row>
    <row r="79" spans="1:21">
      <c r="A79" s="123"/>
    </row>
    <row r="80" spans="1:21">
      <c r="A80" s="123"/>
    </row>
    <row r="81" spans="1:24">
      <c r="A81" s="123"/>
    </row>
    <row r="82" spans="1:24">
      <c r="A82" s="123"/>
      <c r="U82" s="89">
        <f>$D$14</f>
        <v>0</v>
      </c>
    </row>
    <row r="83" spans="1:24">
      <c r="A83" s="123"/>
    </row>
    <row r="84" spans="1:24">
      <c r="A84" s="123"/>
    </row>
    <row r="85" spans="1:24">
      <c r="A85" s="123"/>
    </row>
    <row r="86" spans="1:24">
      <c r="A86" s="123"/>
    </row>
    <row r="87" spans="1:24">
      <c r="A87" s="123"/>
      <c r="C87" s="52" t="str">
        <f>IF($L$3=2, "Nejdříve vyplňte správně všechny parametry!"," ")</f>
        <v>Nejdříve vyplňte správně všechny parametry!</v>
      </c>
      <c r="W87" s="124" t="s">
        <v>60</v>
      </c>
      <c r="X87" s="124"/>
    </row>
    <row r="88" spans="1:24">
      <c r="A88" s="123"/>
    </row>
    <row r="89" spans="1:24">
      <c r="A89" s="123"/>
    </row>
    <row r="90" spans="1:24">
      <c r="A90" s="123"/>
      <c r="C90" s="2" t="s">
        <v>61</v>
      </c>
      <c r="F90" s="2" t="s">
        <v>69</v>
      </c>
    </row>
    <row r="91" spans="1:24">
      <c r="A91" s="123"/>
      <c r="C91" s="2" t="s">
        <v>63</v>
      </c>
      <c r="F91" s="2" t="s">
        <v>70</v>
      </c>
    </row>
    <row r="92" spans="1:24">
      <c r="A92" s="123"/>
    </row>
    <row r="93" spans="1:24">
      <c r="A93" s="123"/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</sheetData>
  <sheetProtection password="CF72" sheet="1" objects="1" scenarios="1"/>
  <mergeCells count="10">
    <mergeCell ref="W87:X87"/>
    <mergeCell ref="D6:H6"/>
    <mergeCell ref="D7:H7"/>
    <mergeCell ref="D8:H8"/>
    <mergeCell ref="D9:H9"/>
    <mergeCell ref="D4:H4"/>
    <mergeCell ref="D5:H5"/>
    <mergeCell ref="C12:E12"/>
    <mergeCell ref="F12:H12"/>
    <mergeCell ref="A66:A100"/>
  </mergeCells>
  <hyperlinks>
    <hyperlink ref="W87:X87" location="HS!A1" tooltip="Zpět na plánování" display="Zpět" xr:uid="{00000000-0004-0000-0300-000000000000}"/>
    <hyperlink ref="W3:X3" location="HS!A70" tooltip="Kontrola potřebného prostoru v korpusu" display="► Potřebný prostor" xr:uid="{00000000-0004-0000-0300-000001000000}"/>
    <hyperlink ref="W2:X2" location="AVS!A1" tooltip="Úvodní strana AVENTOS" display="Úvod AVENTOS" xr:uid="{00000000-0004-0000-0300-000002000000}"/>
    <hyperlink ref="U2" location="HS!A70" tooltip="Kontrola rozměrů pro zpracování" display="► Rozměry" xr:uid="{00000000-0004-0000-0300-000003000000}"/>
    <hyperlink ref="U1" location="AVS!A1" tooltip="Úvodní strana AVENTOS" display="Úvod AVENTOS" xr:uid="{00000000-0004-0000-0300-000004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AF100"/>
  <sheetViews>
    <sheetView showGridLines="0" showRowColHeaders="0" workbookViewId="0" xr3:uid="{F9CF3CF3-643B-5BE6-8B46-32C596A47465}">
      <selection activeCell="J9" sqref="J9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6.25" style="2" customWidth="1"/>
    <col min="22" max="22" width="18.37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14</v>
      </c>
      <c r="T1" s="59"/>
      <c r="U1" s="60" t="s">
        <v>19</v>
      </c>
    </row>
    <row r="2" spans="2:24" ht="18" customHeight="1">
      <c r="B2" s="25"/>
      <c r="T2" s="59"/>
      <c r="U2" s="61" t="s">
        <v>20</v>
      </c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L9=1),1,2)</f>
        <v>2</v>
      </c>
      <c r="M3" s="35" t="s">
        <v>23</v>
      </c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IF(C4&lt;300, "Minimálně 300 mm!", IF(C4&gt;580, "Maximálně 580 mm!", " "))</f>
        <v>Minimálně 300 mm!</v>
      </c>
      <c r="L4" s="115">
        <f>IF(OR(C4&lt;300, C4&gt;580), 2, 1)</f>
        <v>2</v>
      </c>
      <c r="M4" s="35" t="s">
        <v>25</v>
      </c>
      <c r="W4" s="26"/>
      <c r="X4" s="26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IF(C5&lt;14,"Minimálně 14 mm!"," ")</f>
        <v>Minimálně 14 mm!</v>
      </c>
      <c r="L5" s="115">
        <f>IF(C5&lt;14, 2, 1)</f>
        <v>2</v>
      </c>
      <c r="W5" s="54"/>
      <c r="X5" s="54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IF(C6&lt;14,"Minimálně 14 mm!"," ")</f>
        <v>Minimálně 14 mm!</v>
      </c>
      <c r="L6" s="115">
        <f>IF(C6&lt;14, 2, 1)</f>
        <v>2</v>
      </c>
      <c r="W6" s="54"/>
      <c r="X6" s="54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IF(C7&gt;$C$5,"Maximálně "&amp;$C$5&amp;" mm!"," ")</f>
        <v xml:space="preserve"> </v>
      </c>
      <c r="L7" s="115">
        <f>IF(C7&gt;$C$5, 2, 1)</f>
        <v>1</v>
      </c>
      <c r="W7" s="55"/>
      <c r="X7" s="55"/>
    </row>
    <row r="8" spans="2:24" ht="16.5" customHeight="1">
      <c r="B8" s="6"/>
      <c r="C8" s="102"/>
      <c r="D8" s="122" t="s">
        <v>30</v>
      </c>
      <c r="E8" s="122"/>
      <c r="F8" s="122"/>
      <c r="G8" s="122"/>
      <c r="H8" s="122"/>
      <c r="J8" s="13" t="str">
        <f>IF(C8&gt;$C$5,"Maximálně "&amp;$C$5&amp;" mm!"," ")</f>
        <v xml:space="preserve"> </v>
      </c>
      <c r="L8" s="115">
        <f>IF(C8&gt;$C$5, 2, 1)</f>
        <v>1</v>
      </c>
      <c r="W8" s="54"/>
      <c r="X8" s="54"/>
    </row>
    <row r="9" spans="2:24" ht="16.5" customHeight="1">
      <c r="B9" s="6"/>
      <c r="C9" s="102"/>
      <c r="D9" s="122" t="s">
        <v>31</v>
      </c>
      <c r="E9" s="122"/>
      <c r="F9" s="122"/>
      <c r="G9" s="122"/>
      <c r="H9" s="122"/>
      <c r="J9" s="13" t="str">
        <f>IF(C9&gt;C6,"Maximálně "&amp;C6&amp;" mm!"," ")</f>
        <v xml:space="preserve"> </v>
      </c>
      <c r="L9" s="115">
        <f>IF(C9&gt;C6, 2, 1)</f>
        <v>1</v>
      </c>
      <c r="W9" s="54"/>
      <c r="X9" s="54"/>
    </row>
    <row r="10" spans="2:24" ht="17.25" customHeight="1">
      <c r="C10" s="52" t="str">
        <f>IF($L$3=2, "Vyplňte správně všechny parametry!"," ")</f>
        <v>Vyplňte správně všechny parametry!</v>
      </c>
      <c r="L10" s="115"/>
      <c r="M10" s="115"/>
      <c r="N10" s="115"/>
      <c r="O10" s="115"/>
      <c r="P10" s="115"/>
      <c r="Q10" s="115"/>
      <c r="W10" s="54"/>
      <c r="X10" s="54"/>
    </row>
    <row r="11" spans="2:24" ht="16.5" customHeight="1">
      <c r="C11" s="2" t="s">
        <v>32</v>
      </c>
      <c r="L11" s="115"/>
      <c r="M11" s="115"/>
      <c r="N11" s="115"/>
      <c r="O11" s="115"/>
      <c r="P11" s="115"/>
      <c r="Q11" s="115"/>
    </row>
    <row r="12" spans="2:24" ht="16.5" customHeight="1">
      <c r="B12" s="30"/>
      <c r="C12" s="121" t="s">
        <v>33</v>
      </c>
      <c r="D12" s="121"/>
      <c r="E12" s="121"/>
      <c r="F12" s="121" t="s">
        <v>34</v>
      </c>
      <c r="G12" s="121"/>
      <c r="H12" s="121"/>
      <c r="L12" s="79"/>
      <c r="M12" s="79"/>
      <c r="N12" s="39" t="s">
        <v>71</v>
      </c>
      <c r="O12" s="47" t="s">
        <v>72</v>
      </c>
      <c r="P12" s="47" t="s">
        <v>73</v>
      </c>
      <c r="Q12" s="33" t="s">
        <v>74</v>
      </c>
      <c r="R12" s="26"/>
      <c r="S12" s="26"/>
    </row>
    <row r="13" spans="2:24" ht="16.5" customHeight="1">
      <c r="B13" s="30"/>
      <c r="C13" s="116" t="s">
        <v>37</v>
      </c>
      <c r="D13" s="116" t="s">
        <v>38</v>
      </c>
      <c r="E13" s="116" t="s">
        <v>39</v>
      </c>
      <c r="F13" s="116" t="s">
        <v>40</v>
      </c>
      <c r="G13" s="116" t="s">
        <v>41</v>
      </c>
      <c r="H13" s="116" t="s">
        <v>42</v>
      </c>
      <c r="L13" s="79"/>
      <c r="M13" s="9" t="s">
        <v>43</v>
      </c>
      <c r="N13" s="40">
        <f>88+$C$5</f>
        <v>88</v>
      </c>
      <c r="O13" s="48"/>
      <c r="P13" s="48"/>
      <c r="Q13" s="26"/>
      <c r="R13" s="26"/>
      <c r="S13" s="26"/>
    </row>
    <row r="14" spans="2:24" ht="22.5" customHeight="1">
      <c r="B14" s="29"/>
      <c r="C14" s="38" t="str">
        <f>IF(AND($C$4&lt;551, $L$3=1), $R$16, " ")</f>
        <v xml:space="preserve"> </v>
      </c>
      <c r="D14" s="38" t="str">
        <f>IF(AND($C$4&lt;551, $L$3=1), SUM($C$6-$C$9+12.5), " ")</f>
        <v xml:space="preserve"> </v>
      </c>
      <c r="E14" s="38" t="str">
        <f>IF(AND($C$4&lt;551, $L$3=1), SUM($C$6-$C$9+12.5), " ")</f>
        <v xml:space="preserve"> </v>
      </c>
      <c r="F14" s="38" t="str">
        <f>IF(AND($C$4&lt;551, $L$3=1), $N$14, " ")</f>
        <v xml:space="preserve"> </v>
      </c>
      <c r="G14" s="38" t="str">
        <f>IF(AND($C$4&lt;551, $L$3=1), 37, " ")</f>
        <v xml:space="preserve"> </v>
      </c>
      <c r="H14" s="38" t="str">
        <f>IF(AND($C$4&lt;551, $L$3=1), 192, " ")</f>
        <v xml:space="preserve"> </v>
      </c>
      <c r="J14" s="51" t="str">
        <f>IF(AND($C$4&gt;449.5, $C$4&lt;550.5), "pro ramena 20L3800.06", " ")</f>
        <v xml:space="preserve"> </v>
      </c>
      <c r="K14" s="17"/>
      <c r="L14" s="26"/>
      <c r="M14" s="44" t="s">
        <v>45</v>
      </c>
      <c r="N14" s="45">
        <f>$C$4-$N$13</f>
        <v>-88</v>
      </c>
      <c r="O14" s="49"/>
      <c r="P14" s="50"/>
      <c r="Q14" s="17"/>
      <c r="R14" s="79" t="s">
        <v>75</v>
      </c>
      <c r="S14" s="28"/>
      <c r="T14" s="115"/>
      <c r="W14" s="9" t="s">
        <v>44</v>
      </c>
    </row>
    <row r="15" spans="2:24" ht="22.5" customHeight="1">
      <c r="C15" s="38" t="str">
        <f>IF(AND($C$4&gt;449, $L$3=1), $Q$16, " ")</f>
        <v xml:space="preserve"> </v>
      </c>
      <c r="D15" s="38" t="str">
        <f>IF(AND($C$4&gt;449, $L$3=1), SUM($C$6-$C$9+12.5), " ")</f>
        <v xml:space="preserve"> </v>
      </c>
      <c r="E15" s="38" t="str">
        <f>IF(AND($C$4&gt;449, $L$3=1), SUM($C$6-$C$9+12.5), " ")</f>
        <v xml:space="preserve"> </v>
      </c>
      <c r="F15" s="38" t="str">
        <f>IF(AND($C$4&gt;449, $L$3=1), $N$14, " ")</f>
        <v xml:space="preserve"> </v>
      </c>
      <c r="G15" s="38" t="str">
        <f>IF(AND($C$4&gt;449, $L$3=1), 37, " ")</f>
        <v xml:space="preserve"> </v>
      </c>
      <c r="H15" s="38" t="str">
        <f>IF(AND($C$4&gt;449, $L$3=1), 192, " ")</f>
        <v xml:space="preserve"> </v>
      </c>
      <c r="J15" s="51" t="str">
        <f>IF(AND($C$4&gt;449.5, $C$4&lt;550.5), "pro ramena 20L3900.06", " ")</f>
        <v xml:space="preserve"> </v>
      </c>
      <c r="K15" s="9"/>
      <c r="L15" s="36"/>
      <c r="M15" s="9" t="s">
        <v>47</v>
      </c>
      <c r="N15" s="40">
        <f>153+$C$5-$C$7</f>
        <v>153</v>
      </c>
      <c r="O15" s="40">
        <f>203+$C$5-$C$7</f>
        <v>203</v>
      </c>
      <c r="P15" s="40">
        <f>253+$C$5-$C$7</f>
        <v>253</v>
      </c>
      <c r="Q15" s="40">
        <f>303+$C$5-$C$7</f>
        <v>303</v>
      </c>
      <c r="R15" s="115">
        <f>IF($C$4&lt;350, $N$15, IF(AND($C$4&gt;349.99, $C$4&lt;400), $O$15, $P$15))</f>
        <v>153</v>
      </c>
      <c r="S15" s="26"/>
      <c r="W15" s="115" t="str">
        <f>IF($C$4&gt;550, $D$15, $D$14)</f>
        <v xml:space="preserve"> </v>
      </c>
    </row>
    <row r="16" spans="2:24" ht="14.25" customHeight="1">
      <c r="M16" s="37" t="s">
        <v>76</v>
      </c>
      <c r="N16" s="41">
        <f>$C$4-$C$7-$C$8-N$15-96</f>
        <v>-249</v>
      </c>
      <c r="O16" s="41">
        <f>$C$4-$C$7-$C$8-O$15-96</f>
        <v>-299</v>
      </c>
      <c r="P16" s="41">
        <f>$C$4-$C$7-$C$8-P$15-96</f>
        <v>-349</v>
      </c>
      <c r="Q16" s="41">
        <f>$C$4-$C$7-$C$8-Q$15-96</f>
        <v>-399</v>
      </c>
      <c r="R16" s="115">
        <f>IF($C$4&lt;350, $N$16, IF(AND($C$4&gt;349.99, $C$4&lt;400), $O$16, $P$16))</f>
        <v>-249</v>
      </c>
    </row>
    <row r="17" spans="2:26" ht="14.25" customHeight="1">
      <c r="B17" s="2" t="s">
        <v>48</v>
      </c>
      <c r="M17" s="9" t="s">
        <v>77</v>
      </c>
      <c r="U17" s="11" t="str">
        <f>$F$14</f>
        <v xml:space="preserve"> </v>
      </c>
    </row>
    <row r="18" spans="2:26" ht="14.25" customHeight="1">
      <c r="S18" s="21"/>
      <c r="W18" s="115" t="str">
        <f>IF($C$4&gt;550, $D$15, $D$14)</f>
        <v xml:space="preserve"> </v>
      </c>
    </row>
    <row r="19" spans="2:26" ht="14.25" customHeight="1">
      <c r="C19" s="21"/>
      <c r="S19" s="21"/>
    </row>
    <row r="20" spans="2:26" ht="14.25" customHeight="1">
      <c r="S20" s="21"/>
      <c r="W20" s="115" t="str">
        <f>IF($C$4&gt;550, $D$15, $D$14)</f>
        <v xml:space="preserve"> </v>
      </c>
    </row>
    <row r="21" spans="2:26" ht="14.25" customHeight="1">
      <c r="C21" s="2" t="s">
        <v>78</v>
      </c>
      <c r="S21" s="21"/>
    </row>
    <row r="22" spans="2:26" ht="14.25" customHeight="1">
      <c r="C22" s="21"/>
      <c r="S22" s="21"/>
    </row>
    <row r="23" spans="2:26" ht="18" customHeight="1">
      <c r="C23" s="2" t="s">
        <v>68</v>
      </c>
      <c r="S23" s="21"/>
      <c r="W23" s="9" t="str">
        <f>IF($C$4&lt;550.1, "od spodní hrany:", " ")</f>
        <v>od spodní hrany:</v>
      </c>
      <c r="X23" s="5" t="str">
        <f>IF($C$4&lt;550.1, $C$14, " ")</f>
        <v xml:space="preserve"> </v>
      </c>
      <c r="Z23" s="51" t="str">
        <f>IF(AND($C$4&gt;449.5, $C$4&lt;550.5), "pro ramena 20L3800.06", " ")</f>
        <v xml:space="preserve"> </v>
      </c>
    </row>
    <row r="24" spans="2:26" ht="14.25" customHeight="1">
      <c r="S24" s="42"/>
      <c r="W24" s="9" t="str">
        <f>IF($C$4&gt;550, "od spodní hrany:", " ")</f>
        <v xml:space="preserve"> </v>
      </c>
      <c r="X24" s="5" t="str">
        <f>IF($C$4&gt;449.5, $C$15, " ")</f>
        <v xml:space="preserve"> </v>
      </c>
      <c r="Z24" s="51" t="str">
        <f>IF(AND($C$4&gt;449.5, $C$4&lt;550.5), "pro ramena 20L3900.06", " ")</f>
        <v xml:space="preserve"> </v>
      </c>
    </row>
    <row r="25" spans="2:26" ht="14.25" customHeight="1">
      <c r="S25" s="21"/>
    </row>
    <row r="26" spans="2:26" ht="14.25" customHeight="1">
      <c r="S26" s="42"/>
    </row>
    <row r="27" spans="2:26" ht="14.25" customHeight="1">
      <c r="S27" s="21"/>
    </row>
    <row r="28" spans="2:26" ht="14.25" customHeight="1">
      <c r="C28" s="2" t="s">
        <v>57</v>
      </c>
      <c r="S28" s="42"/>
    </row>
    <row r="29" spans="2:26" ht="14.25" customHeight="1">
      <c r="S29" s="21"/>
    </row>
    <row r="30" spans="2:26" ht="14.25" customHeight="1">
      <c r="S30" s="42"/>
    </row>
    <row r="31" spans="2:26" ht="14.25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32:32" ht="12" customHeight="1"/>
    <row r="50" spans="32:32" ht="12" customHeight="1"/>
    <row r="51" spans="32:32" ht="12" customHeight="1"/>
    <row r="52" spans="32:32" ht="12" customHeight="1"/>
    <row r="56" spans="32:32">
      <c r="AF56" s="115"/>
    </row>
    <row r="66" spans="1:21" ht="18">
      <c r="A66" s="123"/>
      <c r="B66" s="100" t="str">
        <f>"Hodnoty pro výšku korpusu KH "&amp;$C$4&amp;" mm"</f>
        <v>Hodnoty pro výšku korpusu KH  mm</v>
      </c>
    </row>
    <row r="67" spans="1:21" ht="18">
      <c r="A67" s="123"/>
      <c r="B67" s="22" t="s">
        <v>58</v>
      </c>
      <c r="U67" s="22" t="s">
        <v>59</v>
      </c>
    </row>
    <row r="68" spans="1:21">
      <c r="A68" s="123"/>
    </row>
    <row r="69" spans="1:21">
      <c r="A69" s="123"/>
    </row>
    <row r="70" spans="1:21">
      <c r="A70" s="123"/>
    </row>
    <row r="71" spans="1:21" ht="16.5" customHeight="1">
      <c r="A71" s="123"/>
      <c r="R71" s="19"/>
      <c r="S71" s="19"/>
      <c r="T71" s="90" t="str">
        <f>IF(AND($C$4&gt;449.5, $C$4&lt;550.5), "pro ramena 20L3800.06", " ")</f>
        <v xml:space="preserve"> </v>
      </c>
      <c r="U71" s="101" t="str">
        <f>IF($C$4&lt;551, "("&amp;$R$15&amp;")", " ")</f>
        <v>(153)</v>
      </c>
    </row>
    <row r="72" spans="1:21">
      <c r="A72" s="123"/>
      <c r="C72" s="115" t="str">
        <f>"("&amp;$N$13&amp;")"</f>
        <v>(88)</v>
      </c>
      <c r="R72" s="19"/>
      <c r="S72" s="19"/>
      <c r="T72" s="90" t="str">
        <f>IF(AND($C$4&gt;449.5, $C$4&lt;550.5), "pro ramena 20L3900.06", " ")</f>
        <v xml:space="preserve"> </v>
      </c>
      <c r="U72" s="101" t="str">
        <f>IF($C$4&gt;449, "("&amp;$Q$15&amp;")", " ")</f>
        <v xml:space="preserve"> </v>
      </c>
    </row>
    <row r="73" spans="1:21">
      <c r="A73" s="123"/>
    </row>
    <row r="74" spans="1:21">
      <c r="A74" s="123"/>
      <c r="U74" s="56"/>
    </row>
    <row r="75" spans="1:21">
      <c r="A75" s="123"/>
    </row>
    <row r="76" spans="1:21">
      <c r="A76" s="123"/>
    </row>
    <row r="77" spans="1:21" ht="15">
      <c r="A77" s="123"/>
      <c r="T77" s="90" t="str">
        <f>IF(AND($C$4&gt;449.5, $C$4&lt;550.5), "pro ramena 20L3800.06", " ")</f>
        <v xml:space="preserve"> </v>
      </c>
      <c r="U77" s="87" t="str">
        <f>IF(AND($C$4&lt;551, $L$3=1), $R$16, " ")</f>
        <v xml:space="preserve"> </v>
      </c>
    </row>
    <row r="78" spans="1:21" ht="15">
      <c r="A78" s="123"/>
      <c r="C78" s="57">
        <f>$N$14</f>
        <v>-88</v>
      </c>
      <c r="T78" s="90" t="str">
        <f>IF(AND($C$4&gt;449.5, $C$4&lt;550.5), "pro ramena 20L3900.06", " ")</f>
        <v xml:space="preserve"> </v>
      </c>
      <c r="U78" s="87" t="str">
        <f>IF(AND($C$4&gt;449, $L$3=1), $Q$16, " ")</f>
        <v xml:space="preserve"> </v>
      </c>
    </row>
    <row r="79" spans="1:21">
      <c r="A79" s="123"/>
    </row>
    <row r="80" spans="1:21">
      <c r="A80" s="123"/>
    </row>
    <row r="81" spans="1:24" ht="7.5" customHeight="1">
      <c r="A81" s="123"/>
    </row>
    <row r="82" spans="1:24">
      <c r="A82" s="123"/>
      <c r="U82" s="115" t="str">
        <f>IF($C$4&gt;550, $D$15, $D$14)</f>
        <v xml:space="preserve"> </v>
      </c>
    </row>
    <row r="83" spans="1:24">
      <c r="A83" s="123"/>
    </row>
    <row r="84" spans="1:24">
      <c r="A84" s="123"/>
    </row>
    <row r="85" spans="1:24">
      <c r="A85" s="123"/>
    </row>
    <row r="86" spans="1:24">
      <c r="A86" s="123"/>
      <c r="C86" s="52" t="str">
        <f>IF($L$3=2, "Nejdříve vyplňte správně všechny parametry!"," ")</f>
        <v>Nejdříve vyplňte správně všechny parametry!</v>
      </c>
      <c r="W86" s="124" t="s">
        <v>60</v>
      </c>
      <c r="X86" s="124"/>
    </row>
    <row r="87" spans="1:24">
      <c r="A87" s="123"/>
    </row>
    <row r="88" spans="1:24">
      <c r="A88" s="123"/>
    </row>
    <row r="89" spans="1:24">
      <c r="A89" s="123"/>
      <c r="C89" s="2" t="s">
        <v>61</v>
      </c>
      <c r="F89" s="2" t="s">
        <v>79</v>
      </c>
    </row>
    <row r="90" spans="1:24">
      <c r="A90" s="123"/>
      <c r="C90" s="2" t="s">
        <v>63</v>
      </c>
      <c r="F90" s="2" t="s">
        <v>80</v>
      </c>
    </row>
    <row r="91" spans="1:24">
      <c r="A91" s="123"/>
    </row>
    <row r="92" spans="1:24">
      <c r="A92" s="123"/>
    </row>
    <row r="93" spans="1:24">
      <c r="A93" s="123"/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</sheetData>
  <sheetProtection password="CF72" sheet="1" objects="1" scenarios="1"/>
  <mergeCells count="10">
    <mergeCell ref="W86:X86"/>
    <mergeCell ref="D6:H6"/>
    <mergeCell ref="D7:H7"/>
    <mergeCell ref="D8:H8"/>
    <mergeCell ref="D9:H9"/>
    <mergeCell ref="D4:H4"/>
    <mergeCell ref="D5:H5"/>
    <mergeCell ref="C12:E12"/>
    <mergeCell ref="F12:H12"/>
    <mergeCell ref="A66:A100"/>
  </mergeCells>
  <hyperlinks>
    <hyperlink ref="W86:X86" location="HL!A1" tooltip="Zpět na plánování" display="Zpět" xr:uid="{00000000-0004-0000-0400-000000000000}"/>
    <hyperlink ref="U2" location="HL!A70" tooltip="Kontrola rozměrů pro zpracování" display="► Rozměry" xr:uid="{00000000-0004-0000-0400-000001000000}"/>
    <hyperlink ref="U1" location="AVS!A1" tooltip="Úvodní strana AVENTOS" display="Úvod AVENTOS" xr:uid="{00000000-0004-0000-04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F99"/>
  <sheetViews>
    <sheetView showGridLines="0" showRowColHeaders="0" workbookViewId="0" xr3:uid="{78B4E459-6924-5F8B-B7BA-2DD04133E49E}">
      <selection activeCell="J15" sqref="J15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7.75" style="2" customWidth="1"/>
    <col min="22" max="22" width="18.37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15</v>
      </c>
      <c r="U1" s="60" t="s">
        <v>19</v>
      </c>
    </row>
    <row r="2" spans="2:24" ht="18" customHeight="1">
      <c r="B2" s="25"/>
      <c r="U2" s="61" t="s">
        <v>20</v>
      </c>
      <c r="W2" s="59"/>
      <c r="X2" s="59"/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L9=1),1,2)</f>
        <v>2</v>
      </c>
      <c r="M3" s="35" t="s">
        <v>23</v>
      </c>
      <c r="W3" s="62"/>
      <c r="X3" s="62"/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IF($C$4&lt;205, "Minimálně 205 mm!", IF($C$4&gt;600, "Maximálně 600 mm!", " "))</f>
        <v>Minimálně 205 mm!</v>
      </c>
      <c r="L4" s="115">
        <f>IF(OR(C4&lt;205, C4&gt;600), 2, 1)</f>
        <v>2</v>
      </c>
      <c r="M4" s="35" t="s">
        <v>25</v>
      </c>
      <c r="W4" s="63"/>
      <c r="X4" s="63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IF(C5&lt;14,"Minimálně 14 mm!", IF(C5&gt;26, "Maximálně 26 mm!", " "))</f>
        <v>Minimálně 14 mm!</v>
      </c>
      <c r="L5" s="115">
        <f>IF(OR($C$5&lt;14, $C$5&gt;26), 2, 1)</f>
        <v>2</v>
      </c>
      <c r="W5" s="54"/>
      <c r="X5" s="54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IF(C6&lt;14,"Minimálně 14 mm!"," ")</f>
        <v>Minimálně 14 mm!</v>
      </c>
      <c r="L6" s="115">
        <f>IF(C6&lt;14, 2, 1)</f>
        <v>2</v>
      </c>
      <c r="W6" s="54"/>
      <c r="X6" s="54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IF(C7&gt;$C$5,"Maximálně "&amp;$C$5&amp;" mm!"," ")</f>
        <v xml:space="preserve"> </v>
      </c>
      <c r="L7" s="115">
        <f>IF(C7&gt;$C$5, 2, 1)</f>
        <v>1</v>
      </c>
      <c r="W7" s="54"/>
      <c r="X7" s="54"/>
    </row>
    <row r="8" spans="2:24" ht="16.5" customHeight="1">
      <c r="B8" s="6"/>
      <c r="C8" s="102"/>
      <c r="D8" s="122" t="s">
        <v>30</v>
      </c>
      <c r="E8" s="122"/>
      <c r="F8" s="122"/>
      <c r="G8" s="122"/>
      <c r="H8" s="122"/>
      <c r="J8" s="13" t="str">
        <f>IF(C8&gt;$C$5,"Maximálně "&amp;$C$5&amp;" mm!"," ")</f>
        <v xml:space="preserve"> </v>
      </c>
      <c r="L8" s="115">
        <f>IF(C8&gt;$C$5, 2, 1)</f>
        <v>1</v>
      </c>
      <c r="W8" s="55"/>
      <c r="X8" s="55"/>
    </row>
    <row r="9" spans="2:24" ht="16.5" customHeight="1">
      <c r="B9" s="6"/>
      <c r="C9" s="102"/>
      <c r="D9" s="122" t="s">
        <v>31</v>
      </c>
      <c r="E9" s="122"/>
      <c r="F9" s="122"/>
      <c r="G9" s="122"/>
      <c r="H9" s="122"/>
      <c r="J9" s="13" t="str">
        <f>IF(C9&gt;C6,"Maximálně "&amp;C6&amp;" mm!"," ")</f>
        <v xml:space="preserve"> </v>
      </c>
      <c r="L9" s="115">
        <f>IF(C9&gt;C6, 2, 1)</f>
        <v>1</v>
      </c>
      <c r="W9" s="54"/>
      <c r="X9" s="54"/>
    </row>
    <row r="10" spans="2:24" ht="17.25" customHeight="1">
      <c r="C10" s="52" t="str">
        <f>IF(L3=2, "Vyplňte správně všechny parametry!"," ")</f>
        <v>Vyplňte správně všechny parametry!</v>
      </c>
      <c r="L10" s="115"/>
      <c r="M10" s="115"/>
      <c r="N10" s="115"/>
      <c r="O10" s="115"/>
      <c r="P10" s="115"/>
      <c r="Q10" s="115"/>
      <c r="W10" s="54"/>
      <c r="X10" s="54"/>
    </row>
    <row r="11" spans="2:24" ht="16.5" customHeight="1">
      <c r="C11" s="2" t="s">
        <v>32</v>
      </c>
      <c r="L11" s="115"/>
      <c r="M11" s="115"/>
      <c r="N11" s="115"/>
      <c r="O11" s="115"/>
      <c r="P11" s="115"/>
      <c r="Q11" s="115"/>
    </row>
    <row r="12" spans="2:24" ht="16.5" customHeight="1">
      <c r="B12" s="30"/>
      <c r="C12" s="121" t="s">
        <v>33</v>
      </c>
      <c r="D12" s="121"/>
      <c r="E12" s="121"/>
      <c r="F12" s="121" t="s">
        <v>34</v>
      </c>
      <c r="G12" s="121"/>
      <c r="H12" s="121"/>
      <c r="L12" s="79"/>
      <c r="M12" s="79"/>
      <c r="N12" s="39" t="s">
        <v>81</v>
      </c>
      <c r="O12" s="33"/>
      <c r="P12" s="79"/>
      <c r="Q12" s="26"/>
      <c r="R12" s="26"/>
      <c r="S12" s="26"/>
    </row>
    <row r="13" spans="2:24" ht="16.5" customHeight="1">
      <c r="B13" s="30"/>
      <c r="C13" s="116" t="s">
        <v>37</v>
      </c>
      <c r="D13" s="116" t="s">
        <v>38</v>
      </c>
      <c r="E13" s="116" t="s">
        <v>39</v>
      </c>
      <c r="F13" s="116" t="s">
        <v>40</v>
      </c>
      <c r="G13" s="116" t="s">
        <v>41</v>
      </c>
      <c r="H13" s="116" t="s">
        <v>42</v>
      </c>
      <c r="L13" s="79"/>
      <c r="M13" s="9" t="s">
        <v>43</v>
      </c>
      <c r="N13" s="40">
        <v>96</v>
      </c>
      <c r="O13" s="79"/>
      <c r="P13" s="79"/>
      <c r="Q13" s="26"/>
      <c r="R13" s="26"/>
      <c r="S13" s="26"/>
    </row>
    <row r="14" spans="2:24" ht="22.5" customHeight="1">
      <c r="B14" s="29"/>
      <c r="C14" s="38">
        <f>IF($L$3=1, $N$15, 0)</f>
        <v>0</v>
      </c>
      <c r="D14" s="38">
        <f>IF($L$3=1, SUM($C$6-$C$9+12.5), 0)</f>
        <v>0</v>
      </c>
      <c r="E14" s="38">
        <f>IF($L$3=1, SUM($C$6-$C$9+12.5), 0)</f>
        <v>0</v>
      </c>
      <c r="F14" s="38">
        <f>IF($L$3=1, $N$14, 0)</f>
        <v>0</v>
      </c>
      <c r="G14" s="38">
        <f>IF($L$3=1, 37, 0)</f>
        <v>0</v>
      </c>
      <c r="H14" s="38">
        <f>IF($L$3=1, 128, 0)</f>
        <v>0</v>
      </c>
      <c r="K14" s="17"/>
      <c r="L14" s="26"/>
      <c r="M14" s="44" t="s">
        <v>45</v>
      </c>
      <c r="N14" s="45">
        <f>$C$4-$N$13</f>
        <v>-96</v>
      </c>
      <c r="O14" s="46"/>
      <c r="P14" s="26"/>
      <c r="Q14" s="17"/>
      <c r="R14" s="27"/>
      <c r="S14" s="28"/>
      <c r="T14" s="115"/>
      <c r="W14" s="9" t="s">
        <v>66</v>
      </c>
      <c r="X14" s="5">
        <f>$C$14</f>
        <v>0</v>
      </c>
    </row>
    <row r="15" spans="2:24" ht="15.75" customHeight="1">
      <c r="K15" s="9" t="s">
        <v>46</v>
      </c>
      <c r="L15" s="36"/>
      <c r="M15" s="37" t="s">
        <v>47</v>
      </c>
      <c r="N15" s="41">
        <f>69-$C$7</f>
        <v>69</v>
      </c>
      <c r="O15" s="36"/>
      <c r="P15" s="26"/>
      <c r="Q15" s="26"/>
      <c r="R15" s="26"/>
      <c r="S15" s="26"/>
    </row>
    <row r="16" spans="2:24" ht="14.25" customHeight="1"/>
    <row r="17" spans="2:23" ht="14.25" customHeight="1">
      <c r="B17" s="2" t="s">
        <v>48</v>
      </c>
      <c r="U17" s="11">
        <f>$F$14</f>
        <v>0</v>
      </c>
      <c r="W17" s="115">
        <f>$E$14</f>
        <v>0</v>
      </c>
    </row>
    <row r="18" spans="2:23" ht="14.25" customHeight="1">
      <c r="S18" s="21"/>
    </row>
    <row r="19" spans="2:23" ht="14.25" customHeight="1">
      <c r="C19" s="21"/>
      <c r="S19" s="21"/>
      <c r="W19" s="16">
        <f>$E$14</f>
        <v>0</v>
      </c>
    </row>
    <row r="20" spans="2:23" ht="14.25" customHeight="1">
      <c r="S20" s="21"/>
    </row>
    <row r="21" spans="2:23" ht="14.25" customHeight="1">
      <c r="C21" s="2" t="s">
        <v>67</v>
      </c>
      <c r="S21" s="21"/>
    </row>
    <row r="22" spans="2:23" ht="14.25" customHeight="1">
      <c r="C22" s="21"/>
      <c r="S22" s="21"/>
      <c r="W22" s="16">
        <f>$E$14</f>
        <v>0</v>
      </c>
    </row>
    <row r="23" spans="2:23" ht="18" customHeight="1">
      <c r="C23" s="2" t="s">
        <v>68</v>
      </c>
      <c r="S23" s="21"/>
      <c r="W23" s="9" t="s">
        <v>44</v>
      </c>
    </row>
    <row r="24" spans="2:23" ht="14.25" customHeight="1">
      <c r="S24" s="42"/>
    </row>
    <row r="25" spans="2:23" ht="14.25" customHeight="1">
      <c r="S25" s="21"/>
    </row>
    <row r="26" spans="2:23" ht="14.25" customHeight="1">
      <c r="S26" s="42"/>
    </row>
    <row r="27" spans="2:23" ht="14.25" customHeight="1">
      <c r="S27" s="21"/>
    </row>
    <row r="28" spans="2:23" ht="14.25" customHeight="1">
      <c r="C28" s="2" t="s">
        <v>57</v>
      </c>
      <c r="S28" s="42"/>
    </row>
    <row r="29" spans="2:23" ht="14.25" customHeight="1">
      <c r="S29" s="21"/>
    </row>
    <row r="30" spans="2:23" ht="14.25" customHeight="1">
      <c r="S30" s="42"/>
    </row>
    <row r="31" spans="2:23" ht="14.25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32:32" ht="12" customHeight="1"/>
    <row r="50" spans="32:32" ht="12" customHeight="1"/>
    <row r="51" spans="32:32" ht="12" customHeight="1"/>
    <row r="52" spans="32:32" ht="12" customHeight="1"/>
    <row r="56" spans="32:32">
      <c r="AF56" s="115"/>
    </row>
    <row r="66" spans="1:21">
      <c r="A66" s="123"/>
    </row>
    <row r="67" spans="1:21" ht="18">
      <c r="A67" s="123"/>
      <c r="B67" s="22" t="s">
        <v>58</v>
      </c>
      <c r="U67" s="22" t="s">
        <v>59</v>
      </c>
    </row>
    <row r="68" spans="1:21">
      <c r="A68" s="123"/>
    </row>
    <row r="69" spans="1:21">
      <c r="A69" s="123"/>
    </row>
    <row r="70" spans="1:21" ht="15">
      <c r="A70" s="123"/>
      <c r="U70" s="91">
        <f>$C$14</f>
        <v>0</v>
      </c>
    </row>
    <row r="71" spans="1:21">
      <c r="A71" s="123"/>
    </row>
    <row r="72" spans="1:21">
      <c r="A72" s="123"/>
      <c r="C72" s="115" t="str">
        <f>"("&amp;$C$4-$F$14&amp;")"</f>
        <v>(0)</v>
      </c>
    </row>
    <row r="73" spans="1:21">
      <c r="A73" s="123"/>
    </row>
    <row r="74" spans="1:21">
      <c r="A74" s="123"/>
      <c r="U74" s="56"/>
    </row>
    <row r="75" spans="1:21">
      <c r="A75" s="123"/>
    </row>
    <row r="76" spans="1:21">
      <c r="A76" s="123"/>
    </row>
    <row r="77" spans="1:21">
      <c r="A77" s="123"/>
    </row>
    <row r="78" spans="1:21" ht="15">
      <c r="A78" s="123"/>
      <c r="C78" s="57">
        <f>$F$14</f>
        <v>0</v>
      </c>
      <c r="U78" s="56"/>
    </row>
    <row r="79" spans="1:21">
      <c r="A79" s="123"/>
    </row>
    <row r="80" spans="1:21">
      <c r="A80" s="123"/>
    </row>
    <row r="81" spans="1:24">
      <c r="A81" s="123"/>
      <c r="U81" s="88">
        <f>$D$14</f>
        <v>0</v>
      </c>
    </row>
    <row r="82" spans="1:24">
      <c r="A82" s="123"/>
    </row>
    <row r="83" spans="1:24">
      <c r="A83" s="123"/>
    </row>
    <row r="84" spans="1:24">
      <c r="A84" s="123"/>
    </row>
    <row r="85" spans="1:24">
      <c r="A85" s="123"/>
    </row>
    <row r="86" spans="1:24">
      <c r="A86" s="123"/>
      <c r="W86" s="124" t="s">
        <v>60</v>
      </c>
      <c r="X86" s="124"/>
    </row>
    <row r="87" spans="1:24">
      <c r="A87" s="123"/>
    </row>
    <row r="88" spans="1:24">
      <c r="A88" s="123"/>
      <c r="C88" s="2" t="s">
        <v>61</v>
      </c>
      <c r="F88" s="2" t="s">
        <v>82</v>
      </c>
    </row>
    <row r="89" spans="1:24">
      <c r="A89" s="123"/>
      <c r="C89" s="2" t="s">
        <v>63</v>
      </c>
      <c r="F89" s="2" t="s">
        <v>83</v>
      </c>
    </row>
    <row r="90" spans="1:24">
      <c r="A90" s="123"/>
    </row>
    <row r="91" spans="1:24">
      <c r="A91" s="123"/>
    </row>
    <row r="92" spans="1:24">
      <c r="A92" s="123"/>
    </row>
    <row r="93" spans="1:24">
      <c r="A93" s="123"/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</sheetData>
  <sheetProtection password="CF72" sheet="1" objects="1" scenarios="1"/>
  <mergeCells count="10">
    <mergeCell ref="W86:X86"/>
    <mergeCell ref="D6:H6"/>
    <mergeCell ref="D7:H7"/>
    <mergeCell ref="D8:H8"/>
    <mergeCell ref="D9:H9"/>
    <mergeCell ref="D4:H4"/>
    <mergeCell ref="D5:H5"/>
    <mergeCell ref="C12:E12"/>
    <mergeCell ref="F12:H12"/>
    <mergeCell ref="A66:A99"/>
  </mergeCells>
  <hyperlinks>
    <hyperlink ref="W86:X86" location="HK!A1" tooltip="Zpět na plánování" display="Zpět" xr:uid="{00000000-0004-0000-0500-000000000000}"/>
    <hyperlink ref="U2" location="HK!A70" tooltip="Kontrola rozměrů pro zpracování" display="► Rozměry" xr:uid="{00000000-0004-0000-0500-000001000000}"/>
    <hyperlink ref="U1" location="AVS!A1" tooltip="Úvodní strana AVENTOS" display="Úvod AVENTOS" xr:uid="{00000000-0004-0000-05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AF99"/>
  <sheetViews>
    <sheetView showGridLines="0" showRowColHeaders="0" workbookViewId="0" xr3:uid="{9B253EF2-77E0-53E3-AE26-4D66ECD923F3}">
      <selection activeCell="J17" sqref="J17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7.75" style="2" customWidth="1"/>
    <col min="22" max="22" width="18.37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16</v>
      </c>
      <c r="U1" s="60" t="s">
        <v>19</v>
      </c>
    </row>
    <row r="2" spans="2:24" ht="18" customHeight="1">
      <c r="B2" s="25"/>
      <c r="U2" s="61" t="s">
        <v>20</v>
      </c>
      <c r="W2" s="59"/>
      <c r="X2" s="59"/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L9=1),1,2)</f>
        <v>2</v>
      </c>
      <c r="M3" s="35" t="s">
        <v>23</v>
      </c>
      <c r="W3" s="62"/>
      <c r="X3" s="62"/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IF($C$4&lt;186, "Minimálně 186 mm!", IF($C$4&gt;400, "Maximálně 400 mm!", " "))</f>
        <v>Minimálně 186 mm!</v>
      </c>
      <c r="L4" s="115">
        <f>IF(OR(C4&lt;186, C4&gt;400), 2, 1)</f>
        <v>2</v>
      </c>
      <c r="M4" s="35" t="s">
        <v>25</v>
      </c>
      <c r="W4" s="26"/>
      <c r="X4" s="26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IF(C5&lt;14,"Minimálně 14 mm!", IF(C5&gt;22, "Maximálně 22 mm!", " "))</f>
        <v>Minimálně 14 mm!</v>
      </c>
      <c r="L5" s="115">
        <f>IF(OR($C$5&lt;14, $C$5&gt;22), 2, 1)</f>
        <v>2</v>
      </c>
      <c r="W5" s="54"/>
      <c r="X5" s="54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IF(C6&lt;14,"Minimálně 14 mm!"," ")</f>
        <v>Minimálně 14 mm!</v>
      </c>
      <c r="L6" s="115">
        <f>IF(C6&lt;14, 2, 1)</f>
        <v>2</v>
      </c>
      <c r="W6" s="54"/>
      <c r="X6" s="54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IF(C7&gt;$C$5,"Maximálně "&amp;$C$5&amp;" mm!"," ")</f>
        <v xml:space="preserve"> </v>
      </c>
      <c r="L7" s="115">
        <f>IF(C7&gt;$C$5, 2, 1)</f>
        <v>1</v>
      </c>
      <c r="W7" s="54"/>
      <c r="X7" s="54"/>
    </row>
    <row r="8" spans="2:24" ht="16.5" customHeight="1">
      <c r="B8" s="6"/>
      <c r="C8" s="102"/>
      <c r="D8" s="122" t="s">
        <v>30</v>
      </c>
      <c r="E8" s="122"/>
      <c r="F8" s="122"/>
      <c r="G8" s="122"/>
      <c r="H8" s="122"/>
      <c r="J8" s="13" t="str">
        <f>IF(C8&gt;$C$5,"Maximálně "&amp;$C$5&amp;" mm!"," ")</f>
        <v xml:space="preserve"> </v>
      </c>
      <c r="L8" s="115">
        <f>IF(C8&gt;$C$5, 2, 1)</f>
        <v>1</v>
      </c>
      <c r="W8" s="54"/>
      <c r="X8" s="54"/>
    </row>
    <row r="9" spans="2:24" ht="16.5" customHeight="1">
      <c r="B9" s="6"/>
      <c r="C9" s="102"/>
      <c r="D9" s="122" t="s">
        <v>31</v>
      </c>
      <c r="E9" s="122"/>
      <c r="F9" s="122"/>
      <c r="G9" s="122"/>
      <c r="H9" s="122"/>
      <c r="J9" s="13" t="str">
        <f>IF(C9&gt;C6,"Maximálně "&amp;C6&amp;" mm!"," ")</f>
        <v xml:space="preserve"> </v>
      </c>
      <c r="L9" s="115">
        <f>IF(C9&gt;C6, 2, 1)</f>
        <v>1</v>
      </c>
      <c r="W9" s="55"/>
      <c r="X9" s="55"/>
    </row>
    <row r="10" spans="2:24" ht="17.25" customHeight="1">
      <c r="C10" s="52" t="str">
        <f>IF(L3=2, "Vyplňte správně všechny parametry!"," ")</f>
        <v>Vyplňte správně všechny parametry!</v>
      </c>
      <c r="L10" s="115"/>
      <c r="M10" s="115"/>
      <c r="N10" s="115"/>
      <c r="O10" s="115"/>
      <c r="P10" s="115"/>
      <c r="Q10" s="115"/>
      <c r="W10" s="54"/>
      <c r="X10" s="54"/>
    </row>
    <row r="11" spans="2:24" ht="16.5" customHeight="1">
      <c r="C11" s="2" t="s">
        <v>32</v>
      </c>
      <c r="L11" s="115"/>
      <c r="M11" s="115"/>
      <c r="N11" s="115"/>
      <c r="O11" s="115"/>
      <c r="P11" s="115"/>
      <c r="Q11" s="115"/>
    </row>
    <row r="12" spans="2:24" ht="16.5" customHeight="1">
      <c r="B12" s="30"/>
      <c r="C12" s="121" t="s">
        <v>33</v>
      </c>
      <c r="D12" s="121"/>
      <c r="E12" s="121"/>
      <c r="F12" s="121" t="s">
        <v>34</v>
      </c>
      <c r="G12" s="121"/>
      <c r="H12" s="121"/>
      <c r="L12" s="79"/>
      <c r="M12" s="79"/>
      <c r="N12" s="39" t="s">
        <v>81</v>
      </c>
      <c r="O12" s="33"/>
      <c r="P12" s="79"/>
      <c r="Q12" s="26"/>
      <c r="R12" s="26"/>
      <c r="S12" s="26"/>
    </row>
    <row r="13" spans="2:24" ht="16.5" customHeight="1">
      <c r="B13" s="30"/>
      <c r="C13" s="116" t="s">
        <v>37</v>
      </c>
      <c r="D13" s="116" t="s">
        <v>38</v>
      </c>
      <c r="E13" s="116" t="s">
        <v>39</v>
      </c>
      <c r="F13" s="116" t="s">
        <v>40</v>
      </c>
      <c r="G13" s="116" t="s">
        <v>41</v>
      </c>
      <c r="H13" s="116" t="s">
        <v>42</v>
      </c>
      <c r="L13" s="79"/>
      <c r="M13" s="9" t="s">
        <v>43</v>
      </c>
      <c r="N13" s="40">
        <v>74</v>
      </c>
      <c r="O13" s="79"/>
      <c r="P13" s="79"/>
      <c r="Q13" s="26"/>
      <c r="R13" s="26"/>
      <c r="S13" s="26"/>
    </row>
    <row r="14" spans="2:24" ht="22.5" customHeight="1">
      <c r="B14" s="29"/>
      <c r="C14" s="38">
        <f>IF($L$3=1, $N$15, 0)</f>
        <v>0</v>
      </c>
      <c r="D14" s="38">
        <f>IF($L$3=1, SUM($C$6-$C$9+12.5), 0)</f>
        <v>0</v>
      </c>
      <c r="E14" s="38">
        <f>IF($L$3=1, SUM($C$6-$C$9+12.5), 0)</f>
        <v>0</v>
      </c>
      <c r="F14" s="38">
        <f>IF($L$3=1, $N$14, 0)</f>
        <v>0</v>
      </c>
      <c r="G14" s="38">
        <f>IF($L$3=1, 37, 0)</f>
        <v>0</v>
      </c>
      <c r="H14" s="38">
        <f>IF($L$3=1, 64, 0)</f>
        <v>0</v>
      </c>
      <c r="K14" s="17"/>
      <c r="L14" s="26"/>
      <c r="M14" s="44" t="s">
        <v>45</v>
      </c>
      <c r="N14" s="45">
        <f>$C$4-$N$13</f>
        <v>-74</v>
      </c>
      <c r="O14" s="46"/>
      <c r="P14" s="26"/>
      <c r="Q14" s="17"/>
      <c r="R14" s="27"/>
      <c r="S14" s="28"/>
      <c r="T14" s="115"/>
      <c r="W14" s="9" t="s">
        <v>66</v>
      </c>
      <c r="X14" s="5">
        <f>$C$14</f>
        <v>0</v>
      </c>
    </row>
    <row r="15" spans="2:24" ht="15.75" customHeight="1">
      <c r="K15" s="9" t="s">
        <v>46</v>
      </c>
      <c r="L15" s="36"/>
      <c r="M15" s="37" t="s">
        <v>47</v>
      </c>
      <c r="N15" s="41">
        <f>78-$C$7</f>
        <v>78</v>
      </c>
      <c r="O15" s="36"/>
      <c r="P15" s="26"/>
      <c r="Q15" s="26"/>
      <c r="R15" s="26"/>
      <c r="S15" s="26"/>
    </row>
    <row r="16" spans="2:24" ht="14.25" customHeight="1"/>
    <row r="17" spans="2:23" ht="14.25" customHeight="1">
      <c r="B17" s="2" t="s">
        <v>48</v>
      </c>
      <c r="U17" s="11">
        <f>$F$14</f>
        <v>0</v>
      </c>
      <c r="W17" s="115">
        <f>$E$14</f>
        <v>0</v>
      </c>
    </row>
    <row r="18" spans="2:23" ht="14.25" customHeight="1">
      <c r="S18" s="21"/>
    </row>
    <row r="19" spans="2:23" ht="14.25" customHeight="1">
      <c r="C19" s="21"/>
      <c r="S19" s="21"/>
      <c r="W19" s="16">
        <f>$E$14</f>
        <v>0</v>
      </c>
    </row>
    <row r="20" spans="2:23" ht="14.25" customHeight="1">
      <c r="S20" s="21"/>
    </row>
    <row r="21" spans="2:23" ht="14.25" customHeight="1">
      <c r="C21" s="2" t="s">
        <v>67</v>
      </c>
      <c r="S21" s="21"/>
    </row>
    <row r="22" spans="2:23" ht="14.25" customHeight="1">
      <c r="C22" s="21"/>
      <c r="S22" s="21"/>
      <c r="W22" s="16">
        <f>$E$14</f>
        <v>0</v>
      </c>
    </row>
    <row r="23" spans="2:23" ht="18" customHeight="1">
      <c r="C23" s="2" t="s">
        <v>68</v>
      </c>
      <c r="S23" s="21"/>
      <c r="W23" s="9" t="s">
        <v>44</v>
      </c>
    </row>
    <row r="24" spans="2:23" ht="14.25" customHeight="1">
      <c r="S24" s="42"/>
    </row>
    <row r="25" spans="2:23" ht="14.25" customHeight="1">
      <c r="S25" s="21"/>
    </row>
    <row r="26" spans="2:23" ht="14.25" customHeight="1">
      <c r="S26" s="42"/>
    </row>
    <row r="27" spans="2:23" ht="14.25" customHeight="1">
      <c r="S27" s="21"/>
    </row>
    <row r="28" spans="2:23" ht="14.25" customHeight="1">
      <c r="C28" s="2" t="s">
        <v>57</v>
      </c>
      <c r="S28" s="42"/>
    </row>
    <row r="29" spans="2:23" ht="14.25" customHeight="1">
      <c r="S29" s="21"/>
    </row>
    <row r="30" spans="2:23" ht="14.25" customHeight="1">
      <c r="S30" s="42"/>
    </row>
    <row r="31" spans="2:23" ht="14.25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32:32" ht="12" customHeight="1"/>
    <row r="50" spans="32:32" ht="12" customHeight="1"/>
    <row r="51" spans="32:32" ht="12" customHeight="1"/>
    <row r="52" spans="32:32" ht="12" customHeight="1"/>
    <row r="56" spans="32:32">
      <c r="AF56" s="115">
        <v>68</v>
      </c>
    </row>
    <row r="66" spans="1:21">
      <c r="A66" s="123"/>
    </row>
    <row r="67" spans="1:21" ht="18">
      <c r="A67" s="123"/>
      <c r="B67" s="22" t="s">
        <v>58</v>
      </c>
      <c r="U67" s="22" t="s">
        <v>59</v>
      </c>
    </row>
    <row r="68" spans="1:21">
      <c r="A68" s="123"/>
    </row>
    <row r="69" spans="1:21">
      <c r="A69" s="123"/>
    </row>
    <row r="70" spans="1:21" ht="15">
      <c r="A70" s="123"/>
      <c r="U70" s="91">
        <f>$C$14</f>
        <v>0</v>
      </c>
    </row>
    <row r="71" spans="1:21">
      <c r="A71" s="123"/>
    </row>
    <row r="72" spans="1:21">
      <c r="A72" s="123"/>
      <c r="C72" s="115" t="str">
        <f>"("&amp;$C$4-$F$14&amp;")"</f>
        <v>(0)</v>
      </c>
    </row>
    <row r="73" spans="1:21">
      <c r="A73" s="123"/>
    </row>
    <row r="74" spans="1:21">
      <c r="A74" s="123"/>
      <c r="U74" s="56"/>
    </row>
    <row r="75" spans="1:21">
      <c r="A75" s="123"/>
    </row>
    <row r="76" spans="1:21" ht="15">
      <c r="A76" s="123"/>
      <c r="C76" s="57">
        <f>$F$14</f>
        <v>0</v>
      </c>
    </row>
    <row r="77" spans="1:21">
      <c r="A77" s="123"/>
    </row>
    <row r="78" spans="1:21">
      <c r="A78" s="123"/>
      <c r="U78" s="56"/>
    </row>
    <row r="79" spans="1:21">
      <c r="A79" s="123"/>
    </row>
    <row r="80" spans="1:21">
      <c r="A80" s="123"/>
    </row>
    <row r="81" spans="1:24">
      <c r="A81" s="123"/>
      <c r="U81" s="88">
        <f>$D$14</f>
        <v>0</v>
      </c>
    </row>
    <row r="82" spans="1:24">
      <c r="A82" s="123"/>
    </row>
    <row r="83" spans="1:24">
      <c r="A83" s="123"/>
    </row>
    <row r="84" spans="1:24">
      <c r="A84" s="123"/>
    </row>
    <row r="85" spans="1:24">
      <c r="A85" s="123"/>
      <c r="W85" s="124" t="s">
        <v>60</v>
      </c>
      <c r="X85" s="124"/>
    </row>
    <row r="86" spans="1:24">
      <c r="A86" s="123"/>
    </row>
    <row r="87" spans="1:24">
      <c r="A87" s="123"/>
    </row>
    <row r="88" spans="1:24">
      <c r="A88" s="123"/>
      <c r="C88" s="2" t="s">
        <v>61</v>
      </c>
      <c r="F88" s="2" t="s">
        <v>84</v>
      </c>
    </row>
    <row r="89" spans="1:24">
      <c r="A89" s="123"/>
      <c r="C89" s="2" t="s">
        <v>63</v>
      </c>
      <c r="F89" s="2" t="s">
        <v>85</v>
      </c>
    </row>
    <row r="90" spans="1:24">
      <c r="A90" s="123"/>
    </row>
    <row r="91" spans="1:24">
      <c r="A91" s="123"/>
    </row>
    <row r="92" spans="1:24">
      <c r="A92" s="123"/>
    </row>
    <row r="93" spans="1:24">
      <c r="A93" s="123"/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</sheetData>
  <sheetProtection password="CF72" sheet="1" objects="1" scenarios="1"/>
  <mergeCells count="10">
    <mergeCell ref="D4:H4"/>
    <mergeCell ref="D5:H5"/>
    <mergeCell ref="A66:A99"/>
    <mergeCell ref="W85:X85"/>
    <mergeCell ref="D9:H9"/>
    <mergeCell ref="C12:E12"/>
    <mergeCell ref="F12:H12"/>
    <mergeCell ref="D6:H6"/>
    <mergeCell ref="D7:H7"/>
    <mergeCell ref="D8:H8"/>
  </mergeCells>
  <hyperlinks>
    <hyperlink ref="W85:X85" location="'HK-S'!A1" tooltip="Zpět na plánování" display="Zpět" xr:uid="{00000000-0004-0000-0600-000000000000}"/>
    <hyperlink ref="U2" location="'HK-S'!A70" tooltip="Kontrola rozměrů pro zpracování" display="► Rozměry" xr:uid="{00000000-0004-0000-0600-000001000000}"/>
    <hyperlink ref="U1" location="AVS!A1" tooltip="Úvodní strana AVENTOS" display="Úvod AVENTOS" xr:uid="{00000000-0004-0000-06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AF103"/>
  <sheetViews>
    <sheetView showGridLines="0" showRowColHeaders="0" workbookViewId="0" xr3:uid="{85D5C41F-068E-5C55-9968-509E7C2A5619}">
      <selection activeCell="U14" sqref="U14"/>
    </sheetView>
  </sheetViews>
  <sheetFormatPr defaultRowHeight="14.25"/>
  <cols>
    <col min="1" max="1" width="1" style="2" customWidth="1"/>
    <col min="2" max="2" width="3.125" style="2" customWidth="1"/>
    <col min="3" max="3" width="9" style="2" customWidth="1"/>
    <col min="4" max="6" width="9" style="2"/>
    <col min="7" max="7" width="9" style="2" customWidth="1"/>
    <col min="8" max="8" width="9" style="2"/>
    <col min="9" max="9" width="0.75" style="2" customWidth="1"/>
    <col min="10" max="10" width="6.5" style="2" customWidth="1"/>
    <col min="11" max="11" width="11.125" style="2" hidden="1" customWidth="1"/>
    <col min="12" max="20" width="9" style="2" hidden="1" customWidth="1"/>
    <col min="21" max="21" width="17.75" style="2" customWidth="1"/>
    <col min="22" max="22" width="13.125" style="2" customWidth="1"/>
    <col min="23" max="23" width="9" style="2" customWidth="1"/>
    <col min="24" max="24" width="10" style="2" customWidth="1"/>
    <col min="25" max="25" width="1.25" style="2" customWidth="1"/>
    <col min="26" max="30" width="9" style="2"/>
    <col min="31" max="31" width="3.375" style="2" customWidth="1"/>
    <col min="32" max="16384" width="9" style="2"/>
  </cols>
  <sheetData>
    <row r="1" spans="2:24" ht="25.5">
      <c r="B1" s="1" t="s">
        <v>17</v>
      </c>
      <c r="U1" s="60" t="s">
        <v>19</v>
      </c>
    </row>
    <row r="2" spans="2:24" ht="18" customHeight="1">
      <c r="B2" s="25"/>
      <c r="U2" s="61" t="s">
        <v>20</v>
      </c>
      <c r="W2" s="59"/>
      <c r="X2" s="59"/>
    </row>
    <row r="3" spans="2:24" ht="18" customHeight="1">
      <c r="B3" s="6"/>
      <c r="C3" s="19" t="s">
        <v>21</v>
      </c>
      <c r="D3" s="20"/>
      <c r="E3" s="20"/>
      <c r="F3" s="20"/>
      <c r="G3" s="20"/>
      <c r="H3" s="20"/>
      <c r="K3" s="9" t="s">
        <v>22</v>
      </c>
      <c r="L3" s="34">
        <f>IF(AND(L4=1, L5=1, L6=1, L7=1, L8=1, L9=1),1,2)</f>
        <v>2</v>
      </c>
      <c r="M3" s="35" t="s">
        <v>23</v>
      </c>
      <c r="W3" s="62"/>
      <c r="X3" s="62"/>
    </row>
    <row r="4" spans="2:24" ht="16.5" customHeight="1">
      <c r="B4" s="6"/>
      <c r="C4" s="102"/>
      <c r="D4" s="122" t="s">
        <v>24</v>
      </c>
      <c r="E4" s="122"/>
      <c r="F4" s="122"/>
      <c r="G4" s="122"/>
      <c r="H4" s="122"/>
      <c r="J4" s="13" t="str">
        <f>IF($C$4&lt;236, "Minimálně 236 mm!", IF($C$4&gt;600, "Maximálně 600 mm!", " "))</f>
        <v>Minimálně 236 mm!</v>
      </c>
      <c r="L4" s="115">
        <f>IF(OR(C4&lt;236, C4&gt;600), 2, 1)</f>
        <v>2</v>
      </c>
      <c r="M4" s="35" t="s">
        <v>25</v>
      </c>
      <c r="W4" s="26"/>
      <c r="X4" s="26"/>
    </row>
    <row r="5" spans="2:24" ht="16.5" customHeight="1">
      <c r="B5" s="6"/>
      <c r="C5" s="102"/>
      <c r="D5" s="122" t="s">
        <v>26</v>
      </c>
      <c r="E5" s="122"/>
      <c r="F5" s="122"/>
      <c r="G5" s="122"/>
      <c r="H5" s="122"/>
      <c r="J5" s="13" t="str">
        <f>IF(C5&lt;16,"Minimálně 16 mm!", IF(C5&gt;22, "Maximálně 22 mm!", " "))</f>
        <v>Minimálně 16 mm!</v>
      </c>
      <c r="L5" s="115">
        <f>IF(OR($C$5&lt;16, $C$5&gt;22), 2, 1)</f>
        <v>2</v>
      </c>
      <c r="W5" s="54"/>
      <c r="X5" s="54"/>
    </row>
    <row r="6" spans="2:24" ht="16.5" customHeight="1">
      <c r="B6" s="6"/>
      <c r="C6" s="102"/>
      <c r="D6" s="122" t="s">
        <v>27</v>
      </c>
      <c r="E6" s="122"/>
      <c r="F6" s="122"/>
      <c r="G6" s="122"/>
      <c r="H6" s="122"/>
      <c r="J6" s="13" t="str">
        <f>IF(C6&lt;16,"Minimálně 16 mm!"," ")</f>
        <v>Minimálně 16 mm!</v>
      </c>
      <c r="L6" s="115">
        <f>IF(C6&lt;16, 2, 1)</f>
        <v>2</v>
      </c>
      <c r="W6" s="54"/>
      <c r="X6" s="54"/>
    </row>
    <row r="7" spans="2:24" ht="16.5" customHeight="1">
      <c r="B7" s="6"/>
      <c r="C7" s="102"/>
      <c r="D7" s="122" t="s">
        <v>28</v>
      </c>
      <c r="E7" s="122"/>
      <c r="F7" s="122"/>
      <c r="G7" s="122"/>
      <c r="H7" s="122"/>
      <c r="J7" s="13" t="str">
        <f>IF($C$5&gt;15.999, IF(C7&lt;&gt;($C$5-16), "Musí být "&amp;($C$5-16)&amp;" mm! ***", " "), " ")</f>
        <v xml:space="preserve"> </v>
      </c>
      <c r="L7" s="115">
        <f>IF(C7=($C$5-16), 1, 2)</f>
        <v>2</v>
      </c>
      <c r="W7" s="54"/>
      <c r="X7" s="54"/>
    </row>
    <row r="8" spans="2:24" ht="16.5" customHeight="1">
      <c r="B8" s="6"/>
      <c r="C8" s="102"/>
      <c r="D8" s="122" t="s">
        <v>30</v>
      </c>
      <c r="E8" s="122"/>
      <c r="F8" s="122"/>
      <c r="G8" s="122"/>
      <c r="H8" s="122"/>
      <c r="J8" s="13" t="str">
        <f>IF(C8&gt;$C$5,"Maximálně "&amp;$C$5&amp;" mm!"," ")</f>
        <v xml:space="preserve"> </v>
      </c>
      <c r="L8" s="115">
        <f>IF(C8&gt;$C$5, 2, 1)</f>
        <v>1</v>
      </c>
      <c r="W8" s="54"/>
      <c r="X8" s="54"/>
    </row>
    <row r="9" spans="2:24" ht="16.5" customHeight="1">
      <c r="B9" s="6"/>
      <c r="C9" s="102"/>
      <c r="D9" s="122" t="s">
        <v>31</v>
      </c>
      <c r="E9" s="122"/>
      <c r="F9" s="122"/>
      <c r="G9" s="122"/>
      <c r="H9" s="122"/>
      <c r="J9" s="13" t="str">
        <f>IF(C9&gt;C6,"Maximálně "&amp;C6&amp;" mm!"," ")</f>
        <v xml:space="preserve"> </v>
      </c>
      <c r="L9" s="115">
        <f>IF(C9&gt;C6, 2, 1)</f>
        <v>1</v>
      </c>
      <c r="W9" s="55"/>
      <c r="X9" s="55"/>
    </row>
    <row r="10" spans="2:24" ht="17.25" customHeight="1">
      <c r="C10" s="52" t="str">
        <f>IF(L3=2, "Vyplňte správně všechny parametry!"," ")</f>
        <v>Vyplňte správně všechny parametry!</v>
      </c>
      <c r="L10" s="115"/>
      <c r="M10" s="115"/>
      <c r="N10" s="115"/>
      <c r="O10" s="115"/>
      <c r="P10" s="115"/>
      <c r="Q10" s="115"/>
      <c r="W10" s="54"/>
      <c r="X10" s="54"/>
    </row>
    <row r="11" spans="2:24" ht="16.5" customHeight="1">
      <c r="C11" s="2" t="s">
        <v>32</v>
      </c>
      <c r="L11" s="115"/>
      <c r="M11" s="115"/>
      <c r="N11" s="115"/>
      <c r="O11" s="115"/>
      <c r="P11" s="115"/>
      <c r="Q11" s="115"/>
    </row>
    <row r="12" spans="2:24" ht="16.5" customHeight="1">
      <c r="B12" s="30"/>
      <c r="C12" s="121" t="s">
        <v>33</v>
      </c>
      <c r="D12" s="121"/>
      <c r="E12" s="121"/>
      <c r="F12" s="121" t="s">
        <v>34</v>
      </c>
      <c r="G12" s="121"/>
      <c r="H12" s="121"/>
      <c r="L12" s="79"/>
      <c r="M12" s="79"/>
      <c r="N12" s="39" t="s">
        <v>81</v>
      </c>
      <c r="O12" s="33"/>
      <c r="P12" s="79"/>
      <c r="Q12" s="26"/>
      <c r="R12" s="26"/>
      <c r="S12" s="26"/>
    </row>
    <row r="13" spans="2:24" ht="16.5" customHeight="1">
      <c r="B13" s="30"/>
      <c r="C13" s="116" t="s">
        <v>37</v>
      </c>
      <c r="D13" s="116" t="s">
        <v>38</v>
      </c>
      <c r="E13" s="116" t="s">
        <v>39</v>
      </c>
      <c r="F13" s="116" t="s">
        <v>40</v>
      </c>
      <c r="G13" s="116" t="s">
        <v>41</v>
      </c>
      <c r="H13" s="116" t="s">
        <v>42</v>
      </c>
      <c r="L13" s="79"/>
      <c r="M13" s="9" t="s">
        <v>43</v>
      </c>
      <c r="N13" s="40">
        <f>137+$C$5</f>
        <v>137</v>
      </c>
      <c r="O13" s="79"/>
      <c r="P13" s="79"/>
      <c r="Q13" s="26"/>
      <c r="R13" s="26"/>
      <c r="S13" s="26"/>
    </row>
    <row r="14" spans="2:24" ht="22.5" customHeight="1">
      <c r="B14" s="29"/>
      <c r="C14" s="38">
        <f>IF($L$3=1, $N$15, 0)</f>
        <v>0</v>
      </c>
      <c r="D14" s="38">
        <f>IF($L$3=1, SUM($C$6-$C$9+12.5), 0)</f>
        <v>0</v>
      </c>
      <c r="E14" s="38">
        <f>IF($L$3=1, SUM($C$6-$C$9+12.5), 0)</f>
        <v>0</v>
      </c>
      <c r="F14" s="38">
        <f>IF($L$3=1, $N$14, 0)</f>
        <v>0</v>
      </c>
      <c r="G14" s="38">
        <f>IF($L$3=1, 37, 0)</f>
        <v>0</v>
      </c>
      <c r="H14" s="38">
        <f>IF($L$3=1, 32, 0)</f>
        <v>0</v>
      </c>
      <c r="K14" s="17"/>
      <c r="L14" s="26"/>
      <c r="M14" s="44" t="s">
        <v>45</v>
      </c>
      <c r="N14" s="45">
        <f>$C$4-$N$13-16</f>
        <v>-153</v>
      </c>
      <c r="O14" s="46"/>
      <c r="P14" s="26"/>
      <c r="Q14" s="17"/>
      <c r="R14" s="27"/>
      <c r="S14" s="28"/>
      <c r="T14" s="115"/>
      <c r="W14" s="9" t="s">
        <v>66</v>
      </c>
      <c r="X14" s="5">
        <f>$C$14</f>
        <v>0</v>
      </c>
    </row>
    <row r="15" spans="2:24" ht="15.75" customHeight="1">
      <c r="K15" s="9"/>
      <c r="L15" s="36"/>
      <c r="M15" s="37" t="s">
        <v>47</v>
      </c>
      <c r="N15" s="41">
        <f>126+$C$5-$C$7</f>
        <v>126</v>
      </c>
      <c r="O15" s="36"/>
      <c r="P15" s="26"/>
      <c r="Q15" s="26"/>
      <c r="R15" s="26"/>
      <c r="S15" s="26"/>
    </row>
    <row r="16" spans="2:24" ht="14.25" customHeight="1">
      <c r="W16" s="9" t="s">
        <v>44</v>
      </c>
    </row>
    <row r="17" spans="2:23" ht="14.25" customHeight="1">
      <c r="B17" s="2" t="s">
        <v>48</v>
      </c>
      <c r="T17" s="11"/>
      <c r="W17" s="115">
        <f>$E$14</f>
        <v>0</v>
      </c>
    </row>
    <row r="18" spans="2:23" ht="14.25" customHeight="1">
      <c r="S18" s="21"/>
    </row>
    <row r="19" spans="2:23" ht="14.25" customHeight="1">
      <c r="C19" s="21" t="s">
        <v>86</v>
      </c>
      <c r="S19" s="21"/>
      <c r="W19" s="16">
        <f>$E$14</f>
        <v>0</v>
      </c>
    </row>
    <row r="20" spans="2:23" ht="14.25" customHeight="1">
      <c r="C20" s="53"/>
      <c r="S20" s="21"/>
    </row>
    <row r="21" spans="2:23" ht="14.25" customHeight="1">
      <c r="C21" s="2" t="s">
        <v>87</v>
      </c>
      <c r="S21" s="21"/>
    </row>
    <row r="22" spans="2:23" ht="18.75" customHeight="1">
      <c r="C22" s="2" t="s">
        <v>88</v>
      </c>
      <c r="S22" s="21"/>
      <c r="W22" s="16">
        <f>$E$14</f>
        <v>0</v>
      </c>
    </row>
    <row r="23" spans="2:23" ht="18" customHeight="1">
      <c r="C23" s="2" t="s">
        <v>89</v>
      </c>
      <c r="S23" s="21"/>
    </row>
    <row r="24" spans="2:23" ht="14.25" customHeight="1">
      <c r="C24" s="2" t="s">
        <v>90</v>
      </c>
      <c r="S24" s="42"/>
    </row>
    <row r="25" spans="2:23" ht="18" customHeight="1">
      <c r="C25" s="2" t="s">
        <v>54</v>
      </c>
      <c r="S25" s="21"/>
    </row>
    <row r="26" spans="2:23" ht="14.25" customHeight="1">
      <c r="C26" s="2" t="s">
        <v>55</v>
      </c>
      <c r="S26" s="42"/>
    </row>
    <row r="27" spans="2:23" ht="14.25" customHeight="1">
      <c r="C27" s="2" t="s">
        <v>56</v>
      </c>
      <c r="S27" s="42"/>
    </row>
    <row r="28" spans="2:23" ht="14.25" customHeight="1">
      <c r="S28" s="42"/>
    </row>
    <row r="29" spans="2:23" ht="14.25" customHeight="1">
      <c r="S29" s="21"/>
    </row>
    <row r="30" spans="2:23" ht="14.25" customHeight="1">
      <c r="C30" s="2" t="s">
        <v>57</v>
      </c>
      <c r="S30" s="42"/>
    </row>
    <row r="31" spans="2:23" ht="14.25" customHeight="1">
      <c r="S31" s="21"/>
    </row>
    <row r="32" spans="2:23" ht="14.25" customHeight="1">
      <c r="S32" s="42"/>
    </row>
    <row r="33" spans="30:31" ht="14.25" customHeight="1"/>
    <row r="42" spans="30:31" ht="12" customHeight="1">
      <c r="AE42" s="2" t="s">
        <v>91</v>
      </c>
    </row>
    <row r="43" spans="30:31" ht="12" customHeight="1">
      <c r="AD43" s="2">
        <v>35</v>
      </c>
    </row>
    <row r="44" spans="30:31" ht="12" customHeight="1">
      <c r="AE44" s="2" t="s">
        <v>91</v>
      </c>
    </row>
    <row r="45" spans="30:31" ht="12" customHeight="1"/>
    <row r="46" spans="30:31" ht="12" customHeight="1"/>
    <row r="47" spans="30:31" ht="12" customHeight="1"/>
    <row r="48" spans="30:31" ht="12" customHeight="1"/>
    <row r="49" spans="30:32" ht="12" customHeight="1">
      <c r="AD49" s="2">
        <v>35</v>
      </c>
    </row>
    <row r="50" spans="30:32" ht="12" customHeight="1"/>
    <row r="51" spans="30:32" ht="12" customHeight="1"/>
    <row r="52" spans="30:32" ht="12" customHeight="1"/>
    <row r="53" spans="30:32" ht="12" customHeight="1">
      <c r="AD53" s="2">
        <v>35</v>
      </c>
    </row>
    <row r="54" spans="30:32" ht="12" customHeight="1"/>
    <row r="58" spans="30:32">
      <c r="AF58" s="115">
        <v>68</v>
      </c>
    </row>
    <row r="70" spans="1:21">
      <c r="A70" s="123"/>
    </row>
    <row r="71" spans="1:21" ht="18">
      <c r="A71" s="123"/>
      <c r="B71" s="22" t="str">
        <f>"Vrtání korpusu pro výšku KH "&amp;$C$4&amp;" mm"</f>
        <v>Vrtání korpusu pro výšku KH  mm</v>
      </c>
      <c r="U71" s="22" t="s">
        <v>59</v>
      </c>
    </row>
    <row r="72" spans="1:21">
      <c r="A72" s="123"/>
    </row>
    <row r="73" spans="1:21">
      <c r="A73" s="123"/>
    </row>
    <row r="74" spans="1:21">
      <c r="A74" s="123"/>
    </row>
    <row r="75" spans="1:21" ht="15">
      <c r="A75" s="123"/>
      <c r="U75" s="87">
        <f>$C$14</f>
        <v>0</v>
      </c>
    </row>
    <row r="76" spans="1:21">
      <c r="A76" s="123"/>
      <c r="C76" s="115" t="str">
        <f>"("&amp;$C$4-F14&amp;")"</f>
        <v>(0)</v>
      </c>
    </row>
    <row r="77" spans="1:21">
      <c r="A77" s="123"/>
    </row>
    <row r="78" spans="1:21">
      <c r="A78" s="123"/>
      <c r="U78" s="56"/>
    </row>
    <row r="79" spans="1:21">
      <c r="A79" s="123"/>
    </row>
    <row r="80" spans="1:21">
      <c r="A80" s="123"/>
    </row>
    <row r="81" spans="1:24" ht="15">
      <c r="A81" s="123"/>
      <c r="C81" s="57">
        <f>$F$14</f>
        <v>0</v>
      </c>
    </row>
    <row r="82" spans="1:24">
      <c r="A82" s="123"/>
      <c r="U82" s="56"/>
    </row>
    <row r="83" spans="1:24">
      <c r="A83" s="123"/>
    </row>
    <row r="84" spans="1:24">
      <c r="A84" s="123"/>
    </row>
    <row r="85" spans="1:24">
      <c r="A85" s="123"/>
      <c r="U85" s="88">
        <f>$D$14</f>
        <v>0</v>
      </c>
    </row>
    <row r="86" spans="1:24">
      <c r="A86" s="123"/>
    </row>
    <row r="87" spans="1:24">
      <c r="A87" s="123"/>
    </row>
    <row r="88" spans="1:24">
      <c r="A88" s="123"/>
    </row>
    <row r="89" spans="1:24">
      <c r="A89" s="123"/>
      <c r="W89" s="124" t="s">
        <v>60</v>
      </c>
      <c r="X89" s="124"/>
    </row>
    <row r="90" spans="1:24">
      <c r="A90" s="123"/>
    </row>
    <row r="91" spans="1:24">
      <c r="A91" s="123"/>
    </row>
    <row r="92" spans="1:24">
      <c r="A92" s="123"/>
      <c r="C92" s="2" t="s">
        <v>61</v>
      </c>
      <c r="F92" s="2" t="s">
        <v>92</v>
      </c>
    </row>
    <row r="93" spans="1:24">
      <c r="A93" s="123"/>
      <c r="C93" s="2" t="s">
        <v>63</v>
      </c>
      <c r="F93" s="2" t="s">
        <v>83</v>
      </c>
    </row>
    <row r="94" spans="1:24">
      <c r="A94" s="123"/>
    </row>
    <row r="95" spans="1:24">
      <c r="A95" s="123"/>
    </row>
    <row r="96" spans="1:24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</sheetData>
  <sheetProtection password="CF72" sheet="1" objects="1" scenarios="1"/>
  <mergeCells count="10">
    <mergeCell ref="D4:H4"/>
    <mergeCell ref="D5:H5"/>
    <mergeCell ref="A70:A103"/>
    <mergeCell ref="W89:X89"/>
    <mergeCell ref="D9:H9"/>
    <mergeCell ref="C12:E12"/>
    <mergeCell ref="F12:H12"/>
    <mergeCell ref="D6:H6"/>
    <mergeCell ref="D7:H7"/>
    <mergeCell ref="D8:H8"/>
  </mergeCells>
  <hyperlinks>
    <hyperlink ref="W89:X89" location="'HK-XS'!A1" tooltip="Zpět na plánování" display="Zpět" xr:uid="{00000000-0004-0000-0700-000000000000}"/>
    <hyperlink ref="U2" location="'HK-XS'!A70" tooltip="Kontrola rozměrů pro zpracování" display="► Rozměry" xr:uid="{00000000-0004-0000-0700-000001000000}"/>
    <hyperlink ref="U1" location="AVS!A1" tooltip="Úvodní strana AVENTOS" display="Úvod AVENTOS" xr:uid="{00000000-0004-0000-0700-000002000000}"/>
  </hyperlinks>
  <pageMargins left="0.23622047244094491" right="0.23622047244094491" top="0.55118110236220474" bottom="0.74803149606299213" header="0.31496062992125984" footer="0.31496062992125984"/>
  <pageSetup paperSize="9" scale="95" orientation="landscape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D21"/>
  <sheetViews>
    <sheetView showGridLines="0" showRowColHeaders="0" workbookViewId="0" xr3:uid="{44B22561-5205-5C8A-B808-2C70100D228F}">
      <selection activeCell="F17" sqref="F17"/>
    </sheetView>
  </sheetViews>
  <sheetFormatPr defaultRowHeight="14.25"/>
  <cols>
    <col min="1" max="1" width="4.25" customWidth="1"/>
    <col min="2" max="2" width="26.5" customWidth="1"/>
    <col min="3" max="3" width="25.5" customWidth="1"/>
    <col min="4" max="4" width="21.25" customWidth="1"/>
    <col min="5" max="5" width="13.625" customWidth="1"/>
  </cols>
  <sheetData>
    <row r="1" spans="2:4" ht="6" customHeight="1"/>
    <row r="2" spans="2:4" ht="24" customHeight="1">
      <c r="B2" s="86" t="s">
        <v>93</v>
      </c>
      <c r="D2" s="58" t="s">
        <v>10</v>
      </c>
    </row>
    <row r="15" spans="2:4" ht="32.25" customHeight="1">
      <c r="B15" s="118" t="s">
        <v>94</v>
      </c>
      <c r="C15" s="118"/>
      <c r="D15" s="118"/>
    </row>
    <row r="16" spans="2:4" ht="32.25" customHeight="1">
      <c r="B16" s="24" t="s">
        <v>95</v>
      </c>
      <c r="C16" s="24" t="s">
        <v>96</v>
      </c>
      <c r="D16" s="24" t="s">
        <v>97</v>
      </c>
    </row>
    <row r="17" spans="2:4">
      <c r="B17" s="23"/>
      <c r="C17" s="23"/>
      <c r="D17" s="23"/>
    </row>
    <row r="19" spans="2:4" ht="44.25" customHeight="1">
      <c r="B19" s="119" t="s">
        <v>7</v>
      </c>
      <c r="C19" s="119"/>
      <c r="D19" s="119"/>
    </row>
    <row r="21" spans="2:4">
      <c r="B21" t="s">
        <v>8</v>
      </c>
    </row>
  </sheetData>
  <sheetProtection password="CF72" sheet="1" objects="1" scenarios="1"/>
  <mergeCells count="2">
    <mergeCell ref="B15:D15"/>
    <mergeCell ref="B19:D19"/>
  </mergeCells>
  <hyperlinks>
    <hyperlink ref="B16" location="TBX_B!A1" tooltip=" " display="TANDEMBOX s BLUMOTION" xr:uid="{00000000-0004-0000-0800-000000000000}"/>
    <hyperlink ref="C16" location="TBX_T!A1" tooltip=" " display="TANDEMBOX s TOP-ON" xr:uid="{00000000-0004-0000-0800-000001000000}"/>
    <hyperlink ref="D16" location="LBX!A1" tooltip=" " display="LEGRABOX" xr:uid="{00000000-0004-0000-0800-000002000000}"/>
    <hyperlink ref="D2" location="Uvod!A1" tooltip=" " display="Úvodní strana" xr:uid="{00000000-0004-0000-0800-000003000000}"/>
  </hyperlinks>
  <pageMargins left="0.51181102362204722" right="0.51181102362204722" top="0.78740157480314965" bottom="0.78740157480314965" header="0.31496062992125984" footer="0.31496062992125984"/>
  <pageSetup paperSize="9" orientation="portrait" verticalDpi="599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9DFDB880EF2448182E04D826A813A" ma:contentTypeVersion="0" ma:contentTypeDescription="Create a new document." ma:contentTypeScope="" ma:versionID="d8579f102377d29aec3bb8ea018c7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234B9E-BA0C-458E-A237-02D37B2F2D1C}"/>
</file>

<file path=customXml/itemProps2.xml><?xml version="1.0" encoding="utf-8"?>
<ds:datastoreItem xmlns:ds="http://schemas.openxmlformats.org/officeDocument/2006/customXml" ds:itemID="{2C601614-6F88-4288-86EF-4AF6615D1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Sajdl;Robert Lejhanec</dc:creator>
  <cp:keywords/>
  <dc:description/>
  <cp:lastModifiedBy>X</cp:lastModifiedBy>
  <cp:revision/>
  <dcterms:created xsi:type="dcterms:W3CDTF">2015-04-13T12:26:07Z</dcterms:created>
  <dcterms:modified xsi:type="dcterms:W3CDTF">2017-04-20T06:45:34Z</dcterms:modified>
  <cp:category/>
  <cp:contentStatus/>
</cp:coreProperties>
</file>